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225" windowWidth="11445" windowHeight="7515" firstSheet="1" activeTab="1"/>
  </bookViews>
  <sheets>
    <sheet name="PPUESTO GENERAL 5 febrero 2 (2)" sheetId="2" r:id="rId1"/>
    <sheet name="PPUESTO CARPINTERIA METAL  " sheetId="4" r:id="rId2"/>
  </sheets>
  <definedNames>
    <definedName name="_xlnm.Print_Area" localSheetId="0">'PPUESTO GENERAL 5 febrero 2 (2)'!$B$1:$H$220</definedName>
    <definedName name="_xlnm.Print_Titles" localSheetId="1">'PPUESTO CARPINTERIA METAL  '!$6:$9</definedName>
    <definedName name="_xlnm.Print_Titles" localSheetId="0">'PPUESTO GENERAL 5 febrero 2 (2)'!$6:$9</definedName>
    <definedName name="Z_DCFEE749_E909_4603_8C43_2C6231E0D98C_.wvu.PrintArea" localSheetId="1" hidden="1">'PPUESTO CARPINTERIA METAL  '!$A$1:$E$75</definedName>
    <definedName name="Z_DCFEE749_E909_4603_8C43_2C6231E0D98C_.wvu.PrintArea" localSheetId="0" hidden="1">'PPUESTO GENERAL 5 febrero 2 (2)'!$B$1:$G$220</definedName>
    <definedName name="Z_DCFEE749_E909_4603_8C43_2C6231E0D98C_.wvu.PrintTitles" localSheetId="1" hidden="1">'PPUESTO CARPINTERIA METAL  '!$6:$9</definedName>
    <definedName name="Z_DCFEE749_E909_4603_8C43_2C6231E0D98C_.wvu.PrintTitles" localSheetId="0" hidden="1">'PPUESTO GENERAL 5 febrero 2 (2)'!$6:$9</definedName>
  </definedNames>
  <calcPr calcId="125725"/>
  <customWorkbookViews>
    <customWorkbookView name="Carlos Alberto - Vista personalizada" guid="{DCFEE749-E909-4603-8C43-2C6231E0D98C}" mergeInterval="0" personalView="1" maximized="1" xWindow="1" yWindow="1" windowWidth="1916" windowHeight="804" activeSheetId="1"/>
  </customWorkbookViews>
</workbook>
</file>

<file path=xl/calcChain.xml><?xml version="1.0" encoding="utf-8"?>
<calcChain xmlns="http://schemas.openxmlformats.org/spreadsheetml/2006/main">
  <c r="A62" i="4"/>
  <c r="A63" s="1"/>
  <c r="A59"/>
  <c r="A60" s="1"/>
  <c r="A58"/>
  <c r="A55"/>
  <c r="A56" s="1"/>
  <c r="A42"/>
  <c r="A43" s="1"/>
  <c r="A44" s="1"/>
  <c r="A45" s="1"/>
  <c r="A46" s="1"/>
  <c r="A47" s="1"/>
  <c r="A48" s="1"/>
  <c r="A49" s="1"/>
  <c r="A50" s="1"/>
  <c r="A51" s="1"/>
  <c r="A52" s="1"/>
  <c r="A53" s="1"/>
  <c r="A39"/>
  <c r="A40" s="1"/>
  <c r="A12"/>
  <c r="A14" s="1"/>
  <c r="A15" s="1"/>
  <c r="A16" s="1"/>
  <c r="A17" s="1"/>
  <c r="A18" s="1"/>
  <c r="A19" s="1"/>
  <c r="A20" s="1"/>
  <c r="A21" s="1"/>
  <c r="A22" s="1"/>
  <c r="A23" s="1"/>
  <c r="A24" s="1"/>
  <c r="A25" s="1"/>
  <c r="A26" s="1"/>
  <c r="A27" s="1"/>
  <c r="A28" s="1"/>
  <c r="A29" s="1"/>
  <c r="A30" s="1"/>
  <c r="A31" s="1"/>
  <c r="A32" s="1"/>
  <c r="A33" s="1"/>
  <c r="A34" s="1"/>
  <c r="A35" s="1"/>
  <c r="A36" s="1"/>
  <c r="A37" s="1"/>
  <c r="A11"/>
  <c r="G195" i="2" l="1"/>
  <c r="H194" s="1"/>
  <c r="B206"/>
  <c r="G203"/>
  <c r="H203" s="1"/>
  <c r="E202"/>
  <c r="G202" s="1"/>
  <c r="G201"/>
  <c r="H200" s="1"/>
  <c r="E201"/>
  <c r="H198"/>
  <c r="G198"/>
  <c r="E197"/>
  <c r="G197" s="1"/>
  <c r="H197" s="1"/>
  <c r="G187"/>
  <c r="H186" s="1"/>
  <c r="E185"/>
  <c r="G185" s="1"/>
  <c r="H184" s="1"/>
  <c r="G183"/>
  <c r="H182"/>
  <c r="G181"/>
  <c r="E180"/>
  <c r="G180" s="1"/>
  <c r="H179" s="1"/>
  <c r="G178"/>
  <c r="E177"/>
  <c r="G177" s="1"/>
  <c r="G176"/>
  <c r="G175"/>
  <c r="G174"/>
  <c r="E174"/>
  <c r="G173"/>
  <c r="G172"/>
  <c r="E172"/>
  <c r="E171"/>
  <c r="G171" s="1"/>
  <c r="G169"/>
  <c r="H168" s="1"/>
  <c r="E169"/>
  <c r="G166"/>
  <c r="G165"/>
  <c r="G164"/>
  <c r="H163"/>
  <c r="G162"/>
  <c r="G161"/>
  <c r="G160"/>
  <c r="G159"/>
  <c r="G158"/>
  <c r="G157"/>
  <c r="G156"/>
  <c r="G155"/>
  <c r="G154"/>
  <c r="G153"/>
  <c r="H152"/>
  <c r="G151"/>
  <c r="E150"/>
  <c r="G150" s="1"/>
  <c r="H148" s="1"/>
  <c r="G149"/>
  <c r="G147"/>
  <c r="H146"/>
  <c r="B146"/>
  <c r="B148" s="1"/>
  <c r="G144"/>
  <c r="E144"/>
  <c r="G142"/>
  <c r="G139"/>
  <c r="E139"/>
  <c r="G133"/>
  <c r="H131" s="1"/>
  <c r="G130"/>
  <c r="G129"/>
  <c r="G128"/>
  <c r="G127"/>
  <c r="G126"/>
  <c r="G125"/>
  <c r="G124"/>
  <c r="G123"/>
  <c r="G122"/>
  <c r="G121"/>
  <c r="G120"/>
  <c r="G119"/>
  <c r="G118"/>
  <c r="G117"/>
  <c r="G116"/>
  <c r="G115"/>
  <c r="G114"/>
  <c r="H113"/>
  <c r="G112"/>
  <c r="G111"/>
  <c r="G110"/>
  <c r="G109"/>
  <c r="G108"/>
  <c r="G107"/>
  <c r="G106"/>
  <c r="G105"/>
  <c r="G104"/>
  <c r="G103"/>
  <c r="G102"/>
  <c r="H101"/>
  <c r="G100"/>
  <c r="G99"/>
  <c r="G98"/>
  <c r="G97"/>
  <c r="G96"/>
  <c r="G95"/>
  <c r="G94"/>
  <c r="G93"/>
  <c r="G92"/>
  <c r="G91"/>
  <c r="G90"/>
  <c r="H89"/>
  <c r="E87"/>
  <c r="G87" s="1"/>
  <c r="G86"/>
  <c r="E86"/>
  <c r="E85"/>
  <c r="G85" s="1"/>
  <c r="G84"/>
  <c r="E84"/>
  <c r="E83"/>
  <c r="G83" s="1"/>
  <c r="G82"/>
  <c r="E82"/>
  <c r="E81"/>
  <c r="G81" s="1"/>
  <c r="G80"/>
  <c r="E80"/>
  <c r="E79"/>
  <c r="G79" s="1"/>
  <c r="G78"/>
  <c r="E78"/>
  <c r="E77"/>
  <c r="G77" s="1"/>
  <c r="G76"/>
  <c r="E76"/>
  <c r="G73"/>
  <c r="G72"/>
  <c r="G70"/>
  <c r="E70"/>
  <c r="E69"/>
  <c r="G69" s="1"/>
  <c r="G68"/>
  <c r="E68"/>
  <c r="B68"/>
  <c r="B69" s="1"/>
  <c r="B70" s="1"/>
  <c r="B72" s="1"/>
  <c r="B76" s="1"/>
  <c r="B77" s="1"/>
  <c r="B78" s="1"/>
  <c r="B79" s="1"/>
  <c r="B80" s="1"/>
  <c r="B81" s="1"/>
  <c r="B82" s="1"/>
  <c r="B83" s="1"/>
  <c r="B84" s="1"/>
  <c r="B85" s="1"/>
  <c r="B86" s="1"/>
  <c r="B87" s="1"/>
  <c r="E67"/>
  <c r="G67" s="1"/>
  <c r="B67"/>
  <c r="G66"/>
  <c r="E66"/>
  <c r="G65"/>
  <c r="E65"/>
  <c r="E64"/>
  <c r="G64" s="1"/>
  <c r="G63"/>
  <c r="E63"/>
  <c r="E62"/>
  <c r="G62" s="1"/>
  <c r="G61"/>
  <c r="E61"/>
  <c r="E60"/>
  <c r="G60" s="1"/>
  <c r="G59"/>
  <c r="E59"/>
  <c r="E58"/>
  <c r="G58" s="1"/>
  <c r="G57"/>
  <c r="E57"/>
  <c r="B57"/>
  <c r="B58" s="1"/>
  <c r="B59" s="1"/>
  <c r="B60" s="1"/>
  <c r="B61" s="1"/>
  <c r="B62" s="1"/>
  <c r="B63" s="1"/>
  <c r="B64" s="1"/>
  <c r="B65" s="1"/>
  <c r="E56"/>
  <c r="G56" s="1"/>
  <c r="E55"/>
  <c r="G55" s="1"/>
  <c r="G54"/>
  <c r="E54"/>
  <c r="E53"/>
  <c r="G53" s="1"/>
  <c r="G52"/>
  <c r="E52"/>
  <c r="E51"/>
  <c r="G51" s="1"/>
  <c r="G50"/>
  <c r="E50"/>
  <c r="E49"/>
  <c r="G49" s="1"/>
  <c r="G48"/>
  <c r="E48"/>
  <c r="E47"/>
  <c r="G47" s="1"/>
  <c r="G44"/>
  <c r="G43"/>
  <c r="H42"/>
  <c r="G41"/>
  <c r="G40"/>
  <c r="E39"/>
  <c r="G39" s="1"/>
  <c r="H37" s="1"/>
  <c r="G38"/>
  <c r="G36"/>
  <c r="H35" s="1"/>
  <c r="E36"/>
  <c r="E34"/>
  <c r="G34" s="1"/>
  <c r="G33"/>
  <c r="E33"/>
  <c r="E32"/>
  <c r="G32" s="1"/>
  <c r="G30"/>
  <c r="H28" s="1"/>
  <c r="G29"/>
  <c r="E27"/>
  <c r="G27" s="1"/>
  <c r="G26"/>
  <c r="E26"/>
  <c r="G25"/>
  <c r="J25" s="1"/>
  <c r="E25"/>
  <c r="E23"/>
  <c r="G23" s="1"/>
  <c r="H22" s="1"/>
  <c r="G20"/>
  <c r="G19"/>
  <c r="H18"/>
  <c r="G17"/>
  <c r="G16"/>
  <c r="E16"/>
  <c r="E15"/>
  <c r="G15" s="1"/>
  <c r="H14" s="1"/>
  <c r="B14"/>
  <c r="B18" s="1"/>
  <c r="G13"/>
  <c r="G12"/>
  <c r="G11"/>
  <c r="B11"/>
  <c r="B12" s="1"/>
  <c r="B13" s="1"/>
  <c r="H10"/>
  <c r="H170" l="1"/>
  <c r="H75"/>
  <c r="H71"/>
  <c r="H46"/>
  <c r="I46" s="1"/>
  <c r="B21"/>
  <c r="B19"/>
  <c r="B20" s="1"/>
  <c r="B149"/>
  <c r="B150" s="1"/>
  <c r="B151" s="1"/>
  <c r="B153" s="1"/>
  <c r="B154" s="1"/>
  <c r="B155" s="1"/>
  <c r="B156" s="1"/>
  <c r="B157" s="1"/>
  <c r="B158" s="1"/>
  <c r="B159" s="1"/>
  <c r="B160" s="1"/>
  <c r="B161" s="1"/>
  <c r="B162" s="1"/>
  <c r="B164" s="1"/>
  <c r="B165" s="1"/>
  <c r="B166" s="1"/>
  <c r="B168"/>
  <c r="G204"/>
  <c r="H31"/>
  <c r="B15"/>
  <c r="B16" s="1"/>
  <c r="B17" s="1"/>
  <c r="H24"/>
  <c r="H204" s="1"/>
  <c r="B147"/>
  <c r="H205" l="1"/>
  <c r="H206" s="1"/>
  <c r="H207"/>
  <c r="G207"/>
  <c r="G205"/>
  <c r="G206" s="1"/>
  <c r="B170"/>
  <c r="B169"/>
  <c r="B28"/>
  <c r="B23"/>
  <c r="B25" s="1"/>
  <c r="B26" s="1"/>
  <c r="B27" s="1"/>
  <c r="G208" l="1"/>
  <c r="G211"/>
  <c r="G212" s="1"/>
  <c r="B35"/>
  <c r="B29"/>
  <c r="B182"/>
  <c r="B171"/>
  <c r="B172" s="1"/>
  <c r="B173" s="1"/>
  <c r="B174" s="1"/>
  <c r="B175" s="1"/>
  <c r="B176" s="1"/>
  <c r="B177" s="1"/>
  <c r="B178" s="1"/>
  <c r="B180" s="1"/>
  <c r="B181" s="1"/>
  <c r="H208"/>
  <c r="H211" l="1"/>
  <c r="H212" s="1"/>
  <c r="B184"/>
  <c r="B183"/>
  <c r="B37"/>
  <c r="B36"/>
  <c r="B32"/>
  <c r="B33" s="1"/>
  <c r="B34" s="1"/>
  <c r="B30"/>
  <c r="B38" l="1"/>
  <c r="B39" s="1"/>
  <c r="B40" s="1"/>
  <c r="B41" s="1"/>
  <c r="B42"/>
  <c r="B185"/>
  <c r="B186"/>
  <c r="B193" l="1"/>
  <c r="B187"/>
  <c r="B45"/>
  <c r="B43"/>
  <c r="B44" s="1"/>
  <c r="B47" l="1"/>
  <c r="B48" s="1"/>
  <c r="B49" s="1"/>
  <c r="B50" s="1"/>
  <c r="B51" s="1"/>
  <c r="B52" s="1"/>
  <c r="B53" s="1"/>
  <c r="B54" s="1"/>
  <c r="B55" s="1"/>
  <c r="B88"/>
  <c r="B200"/>
  <c r="B195"/>
  <c r="B197" s="1"/>
  <c r="B198" s="1"/>
  <c r="B199" s="1"/>
  <c r="B131" l="1"/>
  <c r="B132" s="1"/>
  <c r="B133" s="1"/>
  <c r="B134" s="1"/>
  <c r="B135" s="1"/>
  <c r="B136" s="1"/>
  <c r="B137" s="1"/>
  <c r="B138" s="1"/>
  <c r="B139" s="1"/>
  <c r="B140" s="1"/>
  <c r="B141" s="1"/>
  <c r="B142" s="1"/>
  <c r="B143" s="1"/>
  <c r="B144" s="1"/>
  <c r="B90"/>
  <c r="B91" s="1"/>
  <c r="B92" s="1"/>
  <c r="B93" s="1"/>
  <c r="B94" s="1"/>
  <c r="B95" s="1"/>
  <c r="B96" s="1"/>
  <c r="B97" s="1"/>
  <c r="B98" s="1"/>
  <c r="B99" s="1"/>
  <c r="B100" s="1"/>
  <c r="B102" s="1"/>
  <c r="B103" s="1"/>
  <c r="B104" s="1"/>
  <c r="B105" s="1"/>
  <c r="B106" s="1"/>
  <c r="B107" s="1"/>
  <c r="B108" s="1"/>
  <c r="B109" s="1"/>
  <c r="B110" s="1"/>
  <c r="B111" s="1"/>
  <c r="B112" s="1"/>
  <c r="B114" s="1"/>
  <c r="B115" s="1"/>
  <c r="B116" s="1"/>
  <c r="B117" s="1"/>
  <c r="B118" s="1"/>
  <c r="B119" s="1"/>
  <c r="B120" s="1"/>
  <c r="B121" s="1"/>
  <c r="B122" s="1"/>
  <c r="B123" s="1"/>
  <c r="B124" s="1"/>
  <c r="B125" s="1"/>
  <c r="B126" s="1"/>
  <c r="B127" s="1"/>
  <c r="B128" s="1"/>
  <c r="B129" s="1"/>
  <c r="B130" s="1"/>
  <c r="B203"/>
  <c r="B201"/>
  <c r="B202" s="1"/>
</calcChain>
</file>

<file path=xl/sharedStrings.xml><?xml version="1.0" encoding="utf-8"?>
<sst xmlns="http://schemas.openxmlformats.org/spreadsheetml/2006/main" count="535" uniqueCount="324">
  <si>
    <t xml:space="preserve"> Item </t>
  </si>
  <si>
    <t xml:space="preserve"> Descripción Actividad</t>
  </si>
  <si>
    <t xml:space="preserve"> Unidad </t>
  </si>
  <si>
    <t xml:space="preserve"> Cantidad </t>
  </si>
  <si>
    <t xml:space="preserve"> Valor Unit. </t>
  </si>
  <si>
    <t>PRELIMINARES</t>
  </si>
  <si>
    <t>M2</t>
  </si>
  <si>
    <t>ML</t>
  </si>
  <si>
    <t>M3</t>
  </si>
  <si>
    <t>KG</t>
  </si>
  <si>
    <t xml:space="preserve">                             VICERRECTORIA ADMINISTRATIVA</t>
  </si>
  <si>
    <t>CANTIDADES DE OBRA</t>
  </si>
  <si>
    <t>ESTRUCTURAS  DE CONCRETO</t>
  </si>
  <si>
    <t>SISTEMA GENERAL ELECTRICO,  CABLEADO ESTRUCTURADO, VOZ Y DATOS</t>
  </si>
  <si>
    <t>CUBIERTAS, PERGOLAS y CANALES</t>
  </si>
  <si>
    <t>CONCRETRO CICLOPEO  60*40*30,cm, CCTO 3000 PSI= 60%, PIEDRA 40%</t>
  </si>
  <si>
    <t>AIU (25%)</t>
  </si>
  <si>
    <t>COSTO DIRECTO + COSTO INDIRECTO</t>
  </si>
  <si>
    <t>IVA 16% SOBRE LA UTILIDAD 5%</t>
  </si>
  <si>
    <t>CARLOS A. CASTELLANOS G.</t>
  </si>
  <si>
    <t>ARQUITECTO - CONTRATISTA</t>
  </si>
  <si>
    <t>DIVISION ADMINISTRATIVA Y DE SERVICIOS</t>
  </si>
  <si>
    <t>SISTEMA DE APANTALLAMIENTO</t>
  </si>
  <si>
    <t>Descapote</t>
  </si>
  <si>
    <t>Excavaciones</t>
  </si>
  <si>
    <t>Relleno con material de préstamo</t>
  </si>
  <si>
    <t>Acero de refuerzo</t>
  </si>
  <si>
    <t>REPELLO  DE MUROS  MORTERO 1:3</t>
  </si>
  <si>
    <t>SUMINISTRO E INSTALACION DE LOSETAS EN CONCRETO, PARA PISO DE E= .06 mt. de .40x.40 m.</t>
  </si>
  <si>
    <t>VENTANAS</t>
  </si>
  <si>
    <t>PUERTAS</t>
  </si>
  <si>
    <t>Construcción, suministro e instalación de puerta y marco cuatro naves, Tipo P2, en aluminio natural configuración O-X-X-O;  marco sistema corredizo pesado 8025, las 4 naves con dos cuerpos c/u, vidrio fijo en cristal flotado 5 mm, con pisavidrios S343 y S344,  y perfilería de 3" x 1  1/2", incluye cerradura tipo pico de loro y rodamientos metálicos.  Dimensiones 2,50 x 2,30 metros. (Acabado certificado por fabricante.(Ver esquema))Son 6 Unidades.</t>
  </si>
  <si>
    <t>Construcción, suministro e instalación  de puerta y marco cuatro naves, Tipo P3, en aluminio natural configuración O-X-X-O;  marco sistema corredizo pesado 8025, en las 4 naves dos cuerpos, vidrio fijo en cristal flotado 5 mm, con pisavidrios S343 y S344,  y perfilería de 3" x 1  1/2", incluye cerradura tipo pico de loro y rodamientos metálicos.  Dimensiones 2,00 x 2,30 metros. (Acabado certificado por fabricante.(Ver esquema))Son 5 Unidades.</t>
  </si>
  <si>
    <t>Construcción, suministro e instalación  de puerta y marco una nave, Tipo P10 en aluminio anodizado natural ; marco en perfiles 3" x 1" con aleta U74. Puerta y perfileria T103, dos cuerpos  en vidrio cristal flotado 5 mm con pisavidrios S343 y S344. Chapa yale doble manija.Puerta enbisagrada, incluye fallebas, Dimensiones 0,60 x  2.30 metros. (Acabado certificado por fabricante.(Ver esquema)) Son 10 Unidades.</t>
  </si>
  <si>
    <t>Construcción, suministro e instalación  de puerta y marco una nave, Tipo P9 en aluminio anodizado natural ; marco en perfiles 3" x 1" con aleta U74. Puerta y perfileria T103, dos cuerpos  en vidrio cristal flotado 5 mm con pisavidrios S343 y S344. Chapa yale doble manija.Puerta enbisagrada, incluye fallebas, Dimensiones 0,70 x  2.20 metros. (Acabado certificado por fabricante.(Ver esquema)) Son 17 Unidades.</t>
  </si>
  <si>
    <t>Construcción, suministro e instalación  de puerta y marco una nave, Tipo P7 en aluminio anodizado natural ; marco en perfiles 3" x 1" con aleta U74. Puerta y perfileria T103, dos cuerpos  en vidrio cristal flotado 5 mm con pisavidrios S343 y S344. Chapa yale doble manija.Puerta enbisagrada, incluye fallebas, Dimensiones 1,00 x  2.30 metros. (Acabado certificado por fabricante.(Ver esquema)) Son 2 Unidades.</t>
  </si>
  <si>
    <t>Construcción, suministro e instalación  de puerta y marco una nave, Tipo P6 en aluminio anodizado natural ; marco en perfiles 3" x 1" con aleta U74. Puerta y perfileria T103, dos cuerpos  en vidrio cristal flotado 5 mm con pisavidrios S343 y S344. Chapa yale doble manija.Puerta enbisagrada, incluye fallebas, Dimensiones 0,90 x  2.30 metros. (Acabado certificado por fabricante.(Ver esquema)) Son 12 Unidades.</t>
  </si>
  <si>
    <t>Construcción, suministro e instalación de puerta y marco cuatro naves, configuración O-X-X-O; Tipo P1 en aluminio  natural; marco en perfiles 3" x 1" con aleta U74. Puerta y perfileria T103, en las 4 naves dos cuerpos  vidrio fijo  en cristal flotado 5 mm con pisavidrios S343 y S344.  Chapa yale doble manija.Puerta enbisagrada, incluye fallebas, Dimensiones 3,0 x 2,30 metros. (Acabado certificado por fabricante.(Ver esquema)), Dimensiones 3,00 x  2.30 metros.  Es 1 Unidad.</t>
  </si>
  <si>
    <t>PISOS</t>
  </si>
  <si>
    <t>ENCHAPES</t>
  </si>
  <si>
    <t>Suministro e instalación Red media tensión trifasica en 3 NO.1/0 ACSR</t>
  </si>
  <si>
    <t>MEDIA TENSION</t>
  </si>
  <si>
    <t>Suministro e Instalación de estructura de retención P114 en poste existente (Nodo de arranque). Sin crucetas. Incluir retiro retenida stop</t>
  </si>
  <si>
    <t>Suministro e Instalación de estructura de retención P114</t>
  </si>
  <si>
    <t>Suministro e instalación Poste concreto 12m x 510 kg</t>
  </si>
  <si>
    <t>Suministro e instalación de templete para media tensión en stop a poste de baja tensión a instalar (Incluir poste concreto 9mx51 Okg)</t>
  </si>
  <si>
    <t>Trabajos en media tensión coordinando con el operador de red el apagon respectivo o cuadrilla de linea viva</t>
  </si>
  <si>
    <t>GL</t>
  </si>
  <si>
    <t>Suministro e Instalacion de conjunto para instalacion de juego de cortacircuitos monopolares de15 KV - juego de pararrrayos y demás accesorios para realizar la conexión de media tensión.</t>
  </si>
  <si>
    <t>Suministro e Instalacion de dueto galvanizado tipo pesado de 4" debidamente sujeto a poste con cinta bandil 5/8"</t>
  </si>
  <si>
    <t>Suministro y Construccion de camaras de inspeccion tipo C1 de 1.0x1.0x1.0m</t>
  </si>
  <si>
    <t>Suministro e Instalación 2 dueto pvc de 4"' entre poste terminal de media tensión y subes ación. Induye excavación relleno compacto. cinta de señalización peligro</t>
  </si>
  <si>
    <t>ACOMETIDAS DE POTENCIA BAJA TENSION y TABLEROS</t>
  </si>
  <si>
    <t>Suministro e instalacion de acometida en baja tension desde transformador a tablero general con 12 conductores 4/0 (3x3F,3xN) y un conductor 2/0 para tierra. Recorrido por piso en 2 dueto pvc de 4"</t>
  </si>
  <si>
    <t>Suministro e instalacion de acometida en baja tension desde planta de emergencia a transferencia automática ubicada en el tablero general en 12 conductores 4/0 (3x3F ,3xN) y un conductor 2/0 para tierra. Recorrido por 2
dueto pvc de 4"</t>
  </si>
  <si>
    <t>Suministro e Instalacion de celda de distribucion en Baja Tension tipo interior de 2.2xO.9x06m, que contiene totalizador general ajustable de 700A. Analizador de red., Barrajes para fases, neutro y tierra, 1 interruptor termomagnetico de 200A, 2 interruptores termomagneticos de150A, 4 interruptores termomagneticos de 70A, 1 interruptor termomagnetico de 50A. Incluye transferencia automatica de 700A.</t>
  </si>
  <si>
    <t>Suministro e Instalacion de acometida en baja tensión desde tablero 20 general instalado en la subestación hasta tablero TP1 ubicado en el primer piso cerca al ascensor en 4No.6 Cu (3F, N,) 1 NO.8 (T) dueto pvc de 1 1/2"</t>
  </si>
  <si>
    <t>Suministro e Instalacion de acometida en baja tensión desde tablero general instalado en la subestación hasta tablero TP2 ubicado en el sdo piso cuarto de UPS en 4No.6 Cu (3F, N,) 1 NO.8 (T) dueto pvc de 1 1/2"</t>
  </si>
  <si>
    <t>Suministro e Instalacion de acometida en baja tensión desde tablero general instalado en la subestación hasta tablero TP3 ubicado en el tercer piso en 4No.6 Cu (3F.N .) 1 No.8 (T)ducto PVC de 1 1/2"</t>
  </si>
  <si>
    <t>Suministro e Instalacion de acometida en baja tensión desde tablero general instalado en la subestación hasta tablero Control ascensor ubicado en el cuarto de máquinas en 4No.8 Cu (3F, T) ducto pvc de 1"</t>
  </si>
  <si>
    <t>Suministro e Instalacion de acometida en baja tensión desde tablero general instalado en la subestación hasta tablero existente ubicado en el edificio administrativo en 4No.1/0 Cu (3F, N)1 No.4 (T) ducto pvc de 2"</t>
  </si>
  <si>
    <t>Suministro e Instalacion de acometida en baja tensión desde tablero general instalado en la subestación hasta tablero Control Aire Principal ubicado en el sdo piso en 4No.2/0 Cu (3F, N) 1 No.4 (T) ducto pvc de 2"</t>
  </si>
  <si>
    <t>Suministro e Instalacion de acometida en baja tensión desde tablero general instalado en la subestación hasta tablero Control Aires de reserva ubicado en el sdo piso cuarto UPS en 4No.6 Cu (3F, N) 1 No.8 (T) ducto pvc de 1 1/2"</t>
  </si>
  <si>
    <t>Suministro e Instalacion de acometida en baja tensión desde tablero general instalado en la subestación hasta tablero UPS ubicado en el sdo piso en 4No.1/0 Cu (3F, N) 1 No.4 (T) ducto pvc de 2"</t>
  </si>
  <si>
    <t>Suminsitro e Instalación Punta captadora de Aluminio de 3000x16mm</t>
  </si>
  <si>
    <t>Suminsitro e Instalación Punta captadora de Aluminio de 2000x16mm</t>
  </si>
  <si>
    <t>Suministro e Instalación Soporte para punta 16mm</t>
  </si>
  <si>
    <t>Suministro e Instalación Borne de conexión paralela cable-varilla</t>
  </si>
  <si>
    <t>Suministro e Instalación Conector conector en cruz acero galvanizado</t>
  </si>
  <si>
    <t>Suministro e Instalación Soporte anillo poliamida 30mm</t>
  </si>
  <si>
    <t>Suministro e Instalación Chazo expansión 3/8 x2"</t>
  </si>
  <si>
    <t>Suministro e Instalación Alambron de Aluminio 8mm</t>
  </si>
  <si>
    <t>Suministro e Instalación Grapa bimetalica Aluminio-cobre</t>
  </si>
  <si>
    <t>Suministro e Instalación Funda termoencoguible para aislar cable bajante</t>
  </si>
  <si>
    <t>Suministro e Instalación ducto galvanizado IMC de 1" x3m para protección mecánica del cable bajante.</t>
  </si>
  <si>
    <t>Suministro e Instalación grapa doble ala para fijación ducto galvanizado IMC de 1" x3m . Incluye chazos</t>
  </si>
  <si>
    <t>Suministro e Instalación caja para empalme tipo Oexon de 15x15x8 an para intemperie y accesorios para fijación en pared.</t>
  </si>
  <si>
    <t>Suministro e Instalación cable de cobre desnudo calibre 1/0 AWG para anillo perimetral de tierra.</t>
  </si>
  <si>
    <t>Suministro e Instalación varilla Cu-Cu de 2,4 x 5/8".</t>
  </si>
  <si>
    <t>Suministro e Instalación soldadura thermoweld 115 gr.</t>
  </si>
  <si>
    <t>Suministro e Instalación cámara de registro de 30x 30 cm</t>
  </si>
  <si>
    <t>ZAPATA DE CIMENTACION  DE 21 Mpa</t>
  </si>
  <si>
    <t>MAMPOSTERIA, EN LADRILLO</t>
  </si>
  <si>
    <t>MAMPOSTERIA  TIPO LIVIANA</t>
  </si>
  <si>
    <t>REPELLOS</t>
  </si>
  <si>
    <t>Valor total</t>
  </si>
  <si>
    <t>ESTRUCTURAS METALICAS</t>
  </si>
  <si>
    <t>MAMPOSTERIA</t>
  </si>
  <si>
    <t>CONSTRUCCIÓN DE MURO LIVIANO EN SECO, EN SUPERBOARD DE ESPESOR 10 mm ambas caras;  con estructura en perfilería de acero galvanizado calibre 22 con sección de 89 mm para los parales;  perfil canal en acero galvanizado calibre 22 con sección de 90 mm entre parales distribuidos a 610 mm entre ejes, sistema de fijación mediante tornillos tipo drywall, juntas con cinta malla autoadhesiva y masilla, incluye estuco y pintura en vinilo tipo 1 a tres manos ambas caras, el valor por m2 de muro incluye carteras para vanos cuando  ellas existan, de acuerdo a diseño suministrado, (Incluye equipo ara trabajo en alturas según norma vigente).</t>
  </si>
  <si>
    <t>CONSTRUCCION, SUMINISTRO E INSTALACION DE ESTRUCTURA METÁLICA EN PERLINES TIPO C, que conforma el  soporte estructural de Muro Curvo Exterior  armado en Superboard dos caras. (Ver esquema), (Incluye equipo ara trabajo en alturas según norma vigente).</t>
  </si>
  <si>
    <t>CONSTRUCCION, SUMINISTRO E INSTALACION DE ESTRUCTURA METÁLICA EN PERLINES TIPO C, que conforma el  soporte estructural de Muro adosado Exterior armado en Superboard una cara. (Ver esquema), (Incluye equipo ara trabajo en alturas según norma vigente).</t>
  </si>
  <si>
    <t>SISTEMA ELECTRICO INTERIOR, SALIDAS ELECTRICAS, PUNTOS , ILUMINACION, SISTEMA DE REDES, VOZ Y DATOS</t>
  </si>
  <si>
    <t>CARPINTERIA METALICA,PUERTAS, VENTANAS , REJAS, PERSIANAS Y VIDRIOS</t>
  </si>
  <si>
    <t>CONSTRUCCIÓN DE MURO LIVIANO PARA INTERIORES EN PANEL  YESO 12mm DOS CARAS,  altura de muros = 2,20 mts (Ver esquema)</t>
  </si>
  <si>
    <t>Construcción, suministro e instalación  de Puerta, Tipo P12, termoacústica en panel metálico inyectada con Poliuretano expandido de alta densidad y ambas caras en lámina de acero galvanizada, prepintada o aluminio.Tratamiento con Espuma rigida de poliuretano inyectada de alta presion ( densidad 38 Kg/M3) con doble manija y chapa de seguridad. Puerta enbisagrada, incluye fallebas, Dimensiones 1,40 x  2.30 metros. (Acabado certificado por fabricante.(Ver esquema)) Es 1 Unidad.</t>
  </si>
  <si>
    <t>Suministro e instalación de Ventana en aluminio natural , corredera 1 nave,  configuración X-0 Ref. 744, cierre dumi una cara, vidrio cristal flotado claro 5mm tipo V-2 (acabado certificado por fabricante). Es 1 Unidad. Dimensiones 2,00 X 1,7 mts.</t>
  </si>
  <si>
    <t>Suministro e instalación de Ventana en aluminio natural ,  proyectante una nave, configuración X-0 Ref. 744, manija proyectante una cara, vidrio cristal flotado claro 5mm tipo V-3 A (acabado certificado por fabricante). Es 1 Unidad. Dimensiones 1,20 X 0,50 mts.</t>
  </si>
  <si>
    <t>Suministro e instalación de Ventana en aluminio natural ,  fija Ref. 744, vidrio cristal flotado claro 5mm tipo V-4 (acabado certificado por fabricante). Es 1 Unidad. Dimensiones 2,8 X 0,60 mts.</t>
  </si>
  <si>
    <t>Suministro e instalación de Ventana en aluminio natural , corredera 1 nave,  configuración 0-X Ref. 744, cierre dumi una cara, vidrio cristal flotado claro 5mm tipo V-5 (acabado certificado por fabricante).Son 5 Unidades. Dimensiones 1,00 X 1,00 mts.</t>
  </si>
  <si>
    <t>Suministro e instalación de Ventana en aluminio natural ,  proyectante dos naves, configuración X-0-0-X Ref. 744, manija proyectante una cara, vidrio cristal flotado claro 5mm tipo V-6 (acabado certificado por fabricante).Son 2 Unidades. Dimensiones 3,10 X 0,60 mts.</t>
  </si>
  <si>
    <t>Suministro e instalación de Ventana en aluminio natural , corredera 1 nave,  configuración 0-X Ref. 744, cierre dumi una cara, vidrio cristal flotado claro 5mm tipo V-7 (acabado certificado por fabricante). Son 4 Unidades. Dimensiones 1,20 X 1,20 mts.</t>
  </si>
  <si>
    <t>Suministro e instalación de Ventana en aluminio natural ,  proyectante dos naves, configuración X-0-0-X Ref. 744, manija proyectante una cara, vidrio cristal flotado claro 5mm tipo V-10 (acabado certificado por fabricante). Es 1 Unidad. Dimensiones 2,45 X 0,60 mts.</t>
  </si>
  <si>
    <t>Suministro e instalación de Ventana en aluminio natural ,  proyectante dos naves, configuración X-0-0-X Ref. 744, manija proyectante una cara, vidrio cristal flotado claro 5mm tipo V-17 (acabado certificado por fabricante). Es 1 Unidad. Dimensiones 3,50 X 1,00 mts.</t>
  </si>
  <si>
    <t>Suministro e instalación de Ventana en aluminio natural , corredera 1 nave,  configuración 0-X Ref. 744, cierre dumi una cara, vidrio cristal flotado claro 5mm tipo V-21 (acabado certificado por fabricante). Es 1 Unidad. Dimensiones 0,90 X 1,00 mts.</t>
  </si>
  <si>
    <t>Suministro e instalación de Ventana en aluminio natural ,  fija Ref. 744, vidrio cristal flotado claro 5mm tipo V-13 (acabado certificado por fabricante). Es 1 Unidad en forma de Ele. Dimensiones (1,50 + 0,90) X 1,20 mts.</t>
  </si>
  <si>
    <t>SISTEMA AISLAMIENTO TERMICO Y ACUSTICO</t>
  </si>
  <si>
    <t>CONSTRUCCIÓN DE MURO LIVIANO EN SECO, EN SUPERBOARD DE ESPESOR 10 mm UNA CARA.</t>
  </si>
  <si>
    <t>Suministro e instalación PELICULA SEGURIDAD COMBINADA CON CONTROL SOLAR planta de espesor 8 MIL CLEAR, Anti-grafitti resistente a ralladuras. (Para algunas ventanas de fachada y áreas protegidas)</t>
  </si>
  <si>
    <t>Suministro e Instalación ACUSTIFIBRA 2``</t>
  </si>
  <si>
    <t>Suministro e instalación  de tubería presión D=3/4"RDE 21 INC ACCESORIOS</t>
  </si>
  <si>
    <t>Suministro e instalación de puntos hidráulicos de D=3/4"</t>
  </si>
  <si>
    <t>UN</t>
  </si>
  <si>
    <t>Suministro e instalación de puntos sanitario de D=2"</t>
  </si>
  <si>
    <t>Suministro e instalación de puntos sanitario de D=4"</t>
  </si>
  <si>
    <t>Suministro e instalación de tubería sanitaria de 2" INC Accesorios</t>
  </si>
  <si>
    <t>Suministro e instalación de tubería sanitaria de 4" INC Accesorios</t>
  </si>
  <si>
    <t>Suministro e instalación de tubería de  drenaje PVC D=4"</t>
  </si>
  <si>
    <t xml:space="preserve">Suministro e instalación de tubería alcantarillado UM PVC DE 6" </t>
  </si>
  <si>
    <t xml:space="preserve">Suministro e instalación de tubería alcantarillado  UM PVC DE 8" </t>
  </si>
  <si>
    <t>Suministro e Instalación de Tubería Presión D= 1 1/2" RDE 21 Incluye Accesorios</t>
  </si>
  <si>
    <t>Suministro e Instalación de Tubería Presión D=1/2"RDE 21 Incluye Accesorios</t>
  </si>
  <si>
    <t>Suministro e Instalación de TUBERIA DE  DRENAJE PVC D=3", Incluye accesorios</t>
  </si>
  <si>
    <t>Suministro e Instalación de Punto Hidráulico de  D= 1/2" EN PVC PRESION</t>
  </si>
  <si>
    <t>Impermeabilización  con Manto Edil AT 3mm,para terraza Tercer Piso, Controladoras A.A.</t>
  </si>
  <si>
    <t xml:space="preserve">IMPERMEABILIZACION </t>
  </si>
  <si>
    <t>SUMINISTRO E INSTALACION CHAPA DE BLOQUE EN CONCRETO - ACABADO EN PIEDRA una cara de 5 X 20 X 40  para fachada en superficies tales como muros, bordes de losa, columnas, vigas y dinteles de concreto, Revitado a la vista, (Bloque de primera calidad), de Indural ó equivalente. Resistencia 13 Mpa. Incluye cortes, mortero de pega 1:5, mortero de revite 1:4 color claro ó similar al bloque, malla con vena metálica expandida cal. 24, andamios y todo lo necesario para su correcta construcción. Todos los cortes se realizarán a máquina. (Según norma Icontec 451, 296 y la Astm C-652 y C-34). Muestra de calidad seleccionada y color, para aprobación del arquitecto. (Ver especificaciones). (Incluye equipo para trabajo en alturas según norma vigente).</t>
  </si>
  <si>
    <t>CUBIERTA EN POLICARBONATO DE 10mm COLOR CRISTAL/ Incluye estructura metálica para soporte en tuberíra rectangudlar de 6 x 4 cal.2 mm, suministro y colocación de teja de POLICARBONATO ALVEOLAR DE 10mm COLOR CRISTAL, incluye: sistemas de fijación, amarras, platinas de apoyo, tornillos de fijación,osoldaduras, pintura anticorrosivo cromato de zinc y esmalte de primera calidad para intemperie. (Incluye equipo para trabajo en alturas según norma vigente).</t>
  </si>
  <si>
    <t>CUBIERTA EN POLICARBONATO DE 10mm COLOR OPAL / Incluye estructura metálica para soporte en tuberíra rectangudlar de 6 x 4 cal.2 mm, suministro y colocación de teja de POLICARBONATO ALVEOLAR DE 10mm COLOR OPAL, incluye: sistemas de fijación, amarras, platinas de apoyo, tornillos de fijación,osoldaduras, pintura anticorrosivo cromato de zinc y esmalte de primera calidad para intemperie. (Incluye equipo para trabajo en alturas según norma vigente).</t>
  </si>
  <si>
    <r>
      <rPr>
        <b/>
        <sz val="8"/>
        <color indexed="8"/>
        <rFont val="Arial"/>
        <family val="2"/>
      </rPr>
      <t>NOTA</t>
    </r>
    <r>
      <rPr>
        <sz val="8"/>
        <color indexed="8"/>
        <rFont val="Arial"/>
        <family val="2"/>
      </rPr>
      <t>: La observación que indica (</t>
    </r>
    <r>
      <rPr>
        <b/>
        <sz val="8"/>
        <color indexed="8"/>
        <rFont val="Arial"/>
        <family val="2"/>
      </rPr>
      <t>Incluye equipo para trabajo en alturas según norma vigente</t>
    </r>
    <r>
      <rPr>
        <sz val="8"/>
        <color indexed="8"/>
        <rFont val="Arial"/>
        <family val="2"/>
      </rPr>
      <t>), hace referencia a que los Ítems que la contienen incluyen y se les reconoce  en los Análisis de Precios Unitarios el valor correspondiente a la Herramienta y Equipos requeridos para trabajo en alturas según norma vigente.</t>
    </r>
  </si>
  <si>
    <t>Suministro e instalación de Ventana en aluminio natural ,  proyectante una nave, configuración X Ref. 744, manija proyectante una cara, vidrio cristal flotado claro 5mm tipo V-3 (acabado certificado por fabricante).Son 20/22 Unidades. Dimensiones 0,60 X 0,60 mts. (Incluye equipo para trabajo en alturas según norma vigente).</t>
  </si>
  <si>
    <t>Suministro e instalación de Ventana en Vidrio Templado de 10 mm , incluye anclajes y soportes en acero inoxidable  tipo V-8, (acabado certificado por fabricante). Es 1 Unidad. Dimensiones 7,85 X 2,05 mts. (Incluye equipo para trabajo en alturas según norma vigente).</t>
  </si>
  <si>
    <t>Suministro e instalación de Ventana en Vidrio Templado de 10 mm , incluye anclajes y soportes en acero inoxidable  tipo V-9, (acabado certificado por fabricante).Son 2 Unidades. Dimensiones 3,75 X 1,65 mts. (Incluye equipo para trabajo en alturas según norma vigente).</t>
  </si>
  <si>
    <t>Suministro e instalación de Ventana en Vidrio Templado de 10 mm , incluye anclajes y soportes en acero inoxidable  tipo V-11, (acabado certificado por fabricante). Es 1 Unidad. Dimensiones 9,15 X 2,70 mts. (Incluye equipo para trabajo en alturas según norma vigente).</t>
  </si>
  <si>
    <t>Suministro e instalación de Ventana en Vidrio Templado de 10 mm , incluye anclajes y soportes en acero inoxidable  tipo V-12, (acabado certificado por fabricante). Es 1 Unidad. Dimensiones 8,80 X 1,60 mts. (Incluye equipo para trabajo en alturas según norma vigente).</t>
  </si>
  <si>
    <t>Suministro e instalación de Ventana en aluminio natural ,  proyectante una nave, configuración X Ref. 744, manija proyectante una cara, vidrio cristal flotado claro 5mm tipo V-14 (acabado certificado por fabricante).Son 7/14 Unidades. Dimensiones 0,50 X 0,50 mts. (Incluye equipo para trabajo en alturas según norma vigente).</t>
  </si>
  <si>
    <t>Suministro e instalación de Ventana en Vidrio Templado de 10 mm , incluye anclajes y soportes en acero inoxidable  tipo V-15, (acabado certificado por fabricante).Son 2 Unidades. Dimensiones 4,45 X 1,90 mts. (Incluye equipo para trabajo en alturas según norma vigente).</t>
  </si>
  <si>
    <t>Suministro e instalación de Ventana en Vidrio Templado de 10 mm , incluye anclajes y soportes en acero inoxidable  tipo V-16, (acabado certificado por fabricante).Son 2 Unidades. Dimensiones 3,50 X 1,65 mts. (Incluye equipo para trabajo en alturas según norma vigente).</t>
  </si>
  <si>
    <t>Suministro e instalación de Ventana en aluminio natural , corredera dos naves,  configuración X-0-0-X Ref. 744, cierre dumi una cara, vidrio cristal flotado claro 5mm tipo V-18 (acabado certificado por fabricante).Son 2 Unidades. Dimensiones 3,10 X 1,65 mts. (Incluye equipo para trabajo en alturas según norma vigente).</t>
  </si>
  <si>
    <t>Suministro e instalación de Ventana en Vidrio Templado de 10 mm , incluye anclajes y soportes en acero inoxidable  tipo V-19, (acabado certificado por fabricante).Son 2 Unidades. Dimensiones 6,30 X 1,90 mts. (Incluye equipo para trabajo en alturas según norma vigente).</t>
  </si>
  <si>
    <t>Suministro e instalación de Ventana en aluminio natural , corredera 1 nave,  configuración 0-X Ref. 744, cierre dumi una cara, vidrio cristal flotado claro 5mm tipo V-20 (acabado certificado por fabricante).Son 2 Unidades. Dimensiones 2,45 X 1,00 mts. (Incluye equipo para trabajo en alturas según norma vigente).</t>
  </si>
  <si>
    <t>Suministro e instalacion de Ventana en Vidrio Templado de 10 mm , incluye anclajes y soportes en acero inoxidable  tipo V-22A, (acabado certificado por fabricante)Es 1 Unidad.. DIMENSIONES 1,40 * 7,70 mts. (Incluye equipo para trabajo en alturas según norma vigente).</t>
  </si>
  <si>
    <t>SUBESTACION - MALLA A TIERRA Y PLANTA DE EMERGENCIA</t>
  </si>
  <si>
    <t>Suministro e instalacion de Transformador de potencia de 225 KVA trifásico tipo Pad Mounted 13200/208/120V</t>
  </si>
  <si>
    <t>Suministro e instalacion sistema a malla tierra subestacion de 4x4 mts compuesta de 9 varillas de cobre de 2.4 x 5/8" y cable desnudo de cobre calibre 2/0</t>
  </si>
  <si>
    <t>Suministro e instalacion de planta de emergencia trifásica de 225 KVA operación bajo sistema diesel, con un máximo nivel de ruido de 55 db, con sus respectivos accesorios (cargador de batería, tablero de control) para operar a 208/120v 1800rpm, 60HZ. Se debe llevar a cabo la adecuación de la tubería de escape. La Planta debe tener cabina insonora.</t>
  </si>
  <si>
    <t>CIELOS RASOS</t>
  </si>
  <si>
    <t>CONSTRUCCION DE CIELO FALSO  (Drywall) e= 6mm, tipo Superboard o Eterboard instalado s/ perfileria rolada cl 26 cada 40 cm, tto juntas mediante masillas Etercoat o similar, cinta tipo malla, Eterglas o similar para acabado del cielo en estuco pintura vinilo tres manos, incluye apertura de huecos para iluminación.</t>
  </si>
  <si>
    <t>Suministro e instalación de dilataciones en bronce para pisos</t>
  </si>
  <si>
    <t>ASCENSOR</t>
  </si>
  <si>
    <t>Suministro e instalacion de Ventana estilo Persiana fija en aluminio natural  tipo V-22.(acabado certificado por fabricante). Es 1 Unidad.. DIMENSIONES 1,40 * 8,20 mts. (Incluye equipo para trabajo en alturas según norma vigente).</t>
  </si>
  <si>
    <t>DIVISIONES EN ALUMINIO PARA BAÑOS</t>
  </si>
  <si>
    <t>SUMINISTRO E INSTALACION DE DIVISIONES EN ALUMINIO PARA BAÑOS ANODIZADO NATURAL, Comprende el suministro e instalación de las divisiones de los baños de hombres y mujeres  para los sanitarios y orinales. Las Divisiones deberán ser en lámina de aluminio especificada en el contrato e incluye las  puertas. Contemplaran los elementos necesarios para su instalación tales como anclajes, herrajes etc., con pasador y manija. Altura de las divisiones: para independizar los sanitarios deberán tener una altura de 2.0mts dos metros de enchape y estarán con 0.20 metros libres en area inferior.  El total de metros cuadrados incluye Seis puertas de 0.60 metros de ancho.NOTA: Acabado certificado por fabricante.</t>
  </si>
  <si>
    <t xml:space="preserve"> </t>
  </si>
  <si>
    <t>Suministro e instalación de dispensadores de papel</t>
  </si>
  <si>
    <t>Sum. e instalación de sanitario completo Ref. STILO 30535 Color: BONE, incluye  acople de manguera y accesorios</t>
  </si>
  <si>
    <t>Suministro e instalación de sanitario para discapacitados completo Ref. Aquajet confort height 026-40 Color: BONE  incluye acoples de manguera y accesorios</t>
  </si>
  <si>
    <t>Suministro e instalación de lavamanos de sobreponer Ref. Marsella 01301 Color:  BONE, incluye llave automática para lavamanos Ref. 947120001, acople manguera lavamanos y sifón desagüe lavamanos Ref. 931430001</t>
  </si>
  <si>
    <t xml:space="preserve">Suministro e instalación de orinal santafé   Ref. 00401 Color: BONE, incluye grifería para orinal automática Ref.703200001,  acoples y accesorios y sifón orinal en P/santafé </t>
  </si>
  <si>
    <t>Construcción lavatrapeadores enchapado, incluye grifo</t>
  </si>
  <si>
    <t>Suministro e instalación de secadores eléctricos de mano Ref. 706030001</t>
  </si>
  <si>
    <t>APARATOS SANITARIOS, ACCESORIOS Y ESPEJOS</t>
  </si>
  <si>
    <t>Espejo 5mm</t>
  </si>
  <si>
    <t>MESONES</t>
  </si>
  <si>
    <t>Construcción de mesones  en concreto de 21 MPA ancho 0,60m espesor 0,07 refuerzo con varilla de 3/8" cada 15cm en ambas direcciones</t>
  </si>
  <si>
    <t>Construcción de acabado  en granito pulido blanco No. 2, salpicadero en media caña h= 0.10, para mesones, incluye carteras, dilataciones en bronce, ancho del mesón=0,60, cartera lateral = 0,10</t>
  </si>
  <si>
    <t>Piso en concreto 8cm de espesor 3000PSI  21 Mpa</t>
  </si>
  <si>
    <t>Sum e Inst Cerámica piso antideslizante (.20x.20) primera calidad</t>
  </si>
  <si>
    <t xml:space="preserve">Suministro e instalación de cerámica Nuevo Valencia primera calidad de 0.20 x 0.30, color blanco para muros ref. 286019001 </t>
  </si>
  <si>
    <t>ENCHAPES BAÑOS</t>
  </si>
  <si>
    <t xml:space="preserve">ESTUCO </t>
  </si>
  <si>
    <t>SUMINISTRO Y APLICACIÓN DE ESTUCO  PLASTICO</t>
  </si>
  <si>
    <t>PINTURA</t>
  </si>
  <si>
    <t>SUMINISTRO Y  APLICACIÓN DE PINTURA EN VINILO 3 MANOS</t>
  </si>
  <si>
    <t>ESTUCO Y PINTURA</t>
  </si>
  <si>
    <t xml:space="preserve">PASAMANOS Y BARANDAS METALICAS
</t>
  </si>
  <si>
    <t>Baranda individual .tubo Galv. 2" C/Soport</t>
  </si>
  <si>
    <t>Pasamanos-pared tubo GALV. 1,1/2" C/SOP.</t>
  </si>
  <si>
    <t xml:space="preserve">                      AREA PLANTA FISICA</t>
  </si>
  <si>
    <t xml:space="preserve">                                                                                                                                                                                                                                                                                                                                            OCTUBRE 2013</t>
  </si>
  <si>
    <t>Suministro e instalación de Bandeja portacable tipo malla de 40 x 5,4 x 3 mts, electrozincada incluye accesorios e instalacion.</t>
  </si>
  <si>
    <t>Suministro e instalación DUCTOS en PVC de 3/4 de pulgada , Incluye: Elementos de fijación y accesorios.</t>
  </si>
  <si>
    <t>Suministro e instalación DUCTOS en Tubería EMT de 3/4 de pulgada,  a través de Techo Falso - Incluye: Elementos de fijación y accesorios.</t>
  </si>
  <si>
    <t xml:space="preserve">                             DIVISION ADMINISTRATIVA Y DE SERVICIOS</t>
  </si>
  <si>
    <t>COSTO TOTAL OBRA</t>
  </si>
  <si>
    <t xml:space="preserve">“INTERVENTORIA INTEGRAL TÉCNICA, ADMINISTRATIVA Y FINANCIERA PARA LAS OBRAS DE CONSTRUCCIÓN DEL EDIFICIO DE LA DIVISIÓN DE TECNOLOGÍAS DE LA INFORMACIÓN Y LA TELECOMUNICACIÓN DE LA UNIVERSIDAD DEL CAUCA - SEGUNDA ETAPA” </t>
  </si>
  <si>
    <t>COSTO TOTAL INTERVENTORIA</t>
  </si>
  <si>
    <t>COSTO TOTAL OBRA MAS INTERVENTORIA</t>
  </si>
  <si>
    <t>ASEO GENERAL Y RETIRO DE ESCOMBROS  DE MATERIAL SOBRANTE.</t>
  </si>
  <si>
    <r>
      <t xml:space="preserve">                       </t>
    </r>
    <r>
      <rPr>
        <b/>
        <i/>
        <sz val="12"/>
        <color indexed="8"/>
        <rFont val="Arial"/>
        <family val="2"/>
      </rPr>
      <t>UNIVERSIDAD DEL CAUCA</t>
    </r>
  </si>
  <si>
    <t>SEGUNDA ETAPA - OBRAS DE CONSTRUCCION DEL EDIFICIO DE LA DIVISION  DE  TECNOLOGIAS DE LA INFORMACION Y  LA TELECOMUNICACION DE LA UNIVERSIDAD DEL CAUCA</t>
  </si>
  <si>
    <t>Construcción de muro soga en ladrillo común pega mortero 1:3</t>
  </si>
  <si>
    <r>
      <t>Construcción , suministro e instalación de puerta y marco una nave, Tipo P4 ,  en aluminio natural configuración X;  marco sistema corredizo pesado 8025,  dividida en cuatro cuerpos verticales</t>
    </r>
    <r>
      <rPr>
        <sz val="12"/>
        <color indexed="10"/>
        <rFont val="Arial"/>
        <family val="2"/>
      </rPr>
      <t xml:space="preserve"> </t>
    </r>
    <r>
      <rPr>
        <sz val="12"/>
        <rFont val="Arial"/>
        <family val="2"/>
      </rPr>
      <t>, vidrio fijo en cristal flotado 5 mm, con pisavidrios S343 y S344,  y perfilería de 3" x 1  1/2",  incluye cerradura tipo pico de loro y rodamientos metálicos.  Dimensiones 1,60 x 2,30 metros. (Acabado certificado por fabricante.(Ver esquema))Es 1 Unidad.</t>
    </r>
  </si>
  <si>
    <r>
      <t>Construcción, suministro e instalación  de puerta y marco una nave, Tipo P5, en aluminio natural configuración X;  marco sistema corredizo pesado 8025,  dividida en cuatro cuerpos verticales</t>
    </r>
    <r>
      <rPr>
        <sz val="12"/>
        <color indexed="10"/>
        <rFont val="Arial"/>
        <family val="2"/>
      </rPr>
      <t xml:space="preserve"> </t>
    </r>
    <r>
      <rPr>
        <sz val="12"/>
        <rFont val="Arial"/>
        <family val="2"/>
      </rPr>
      <t>, vidrio fijo en cristal flotado 5 mm, con pisavidrios S343 y S344,  y perfilería de 3" x 1  1/2",  incluye cerradura tipo pico de loro y rodamientos metálicos.  Dimensiones 1,75 x 2,30 metros. (Acabado certificado por fabricante.(Ver esquema))Son 3 Unidades.</t>
    </r>
  </si>
  <si>
    <r>
      <t>Suministro e instalacion Acometida electrica trifásica en tres conductores XLPE MV-90 15 KV 90</t>
    </r>
    <r>
      <rPr>
        <vertAlign val="superscript"/>
        <sz val="12"/>
        <color indexed="8"/>
        <rFont val="Arial"/>
        <family val="2"/>
      </rPr>
      <t xml:space="preserve">o </t>
    </r>
    <r>
      <rPr>
        <sz val="12"/>
        <color indexed="8"/>
        <rFont val="Arial"/>
        <family val="2"/>
      </rPr>
      <t>Cobre No.2 con nivel de aislamiento al 100% cableado por ducto galcanizado agherido a poste y ducto subterraneo PVC de 4"</t>
    </r>
  </si>
  <si>
    <t>VR. OBRA II ETAPA C.D.</t>
  </si>
  <si>
    <t>COMPONENTE INTERVENTORIA</t>
  </si>
  <si>
    <t>Suministro e instalación PELICULA adhesiva opalizada tipo persiana para vidrios de ventanas y puertas indicadas.</t>
  </si>
  <si>
    <t>ok</t>
  </si>
  <si>
    <t>FECHA:</t>
  </si>
  <si>
    <t>SISTEMA DE AIRE ACONDICIONADO DE CONFORT</t>
  </si>
  <si>
    <t>Suministro e Instalacion de cable de fibra optica de 72 hilos monomodo</t>
  </si>
  <si>
    <t>Canalizacion 3 vias de 2 pulgadas Zona Verde</t>
  </si>
  <si>
    <t>Canalizacion 3 vias de 2 pulgadas Anden concreto</t>
  </si>
  <si>
    <t>Suministro y Fusion de Pach cord SC en bandeja de ODF</t>
  </si>
  <si>
    <t>Perforacion dirigida (topo)</t>
  </si>
  <si>
    <t>Preparación extremo cable de F.O.</t>
  </si>
  <si>
    <t>Preparación tubo cable de F.O.</t>
  </si>
  <si>
    <t>Suministro e Instalación de ODF fibra óptica</t>
  </si>
  <si>
    <t>Construcción Camaras tipo F2</t>
  </si>
  <si>
    <t>Construcción Camaras tipo F1</t>
  </si>
  <si>
    <r>
      <rPr>
        <sz val="12"/>
        <color indexed="8"/>
        <rFont val="Arial"/>
        <family val="2"/>
      </rPr>
      <t>Suministro de Ascensor  (sin sala de maquinas), CAPACIDAD NOMINAL: para 08 pasajeros (630 kg), VELOCIDAD: 1,0m/s)- 60 m/min, NUMERO DE PARADAS: Tres (3), NUMERO ENTRADAS: Tres (3) entradas una por cada parada por el mismo lado en tres (3) pisos continuos,  OPERACION: 2BC /Colectiva selectiva automática en ambos sentidos. RECORRIDO: 10000 mm, CONTROL: VFGLC, voltaje de frecuencias variables, SISTEMA DE NIVELACION: controlado electrónicamente por microprocesador y renivelación automática con tolerancia de +- 5mm,  ANCHO Y ALTURA UTIL DE ENTRADA: 900 mm X 2100mm. DISEÑO Y ACABADO CABINA: MEDIDAS INTERIORES DE CABINA: 1100 mm de ancho X 1400 mm de fondo X 2300 mm de alto, TECHO INTERNO DE CABINA – (CIELORASO): Tipo  Iluminación completa indirecta, PANEL FRONTAL: ACERO INOXIDABLE, PUERTA DE CABINA: FÓRMICA, PANELES LATERALES Y POSTERIOR: FÓRMICA, ZÓCALO: PINTURA, PISO: VINILO, ENTRADAS DE PISO: PISO PRINCIPAL: Marco con acabado en ACERO INOXIDABLE, OTROS PISOS: Marco con acabado en PINTURA ELECTROSTATICA, PANEL DE CONTROL: de libre ascenso, el cual puede ir empotrado en los muros  que cierran la entrada al ascensor, Botón de llamado de piso del tipo MICRO PUSH, con Señalización Luminosa  de registro de llamada. Botón de abrir puerta: al presionarlo reabren puertas completamente se mantienen abiertas estando este oprimido. Deberá cumplir con los mandatos para los pasajeros con discapacidad física en cuanto a ubicación, disposición, materiales, luminosidad, colores, etc., FOSO AMORTIGUADORES: de 1,60m de profundidad, MOTOR Y MÁQUINA TRACTORA: POTENCIA DEL MOTOR: 5,1 KW.  El ascensor debe ser capaz  de transportar máximo 08 personas (630kg),  a los 3 pisos del edificio que tiene una altura aproximada de 14mts. La DIFERENCIA en metros entre Primer y Tercer piso es de 8 mts. , ENERGIA DE TRABAJO: 208V, CAPACIDAD: 6 KVA, CORRIENTE DE ACELERACIÓN SUBIENDO A PLENA CARGA: 42 AMP. OTROS DISPOSITIVOS INCLUIDOS: Espejo,  Pasamanos, Ganchos para Lona Cromados, Lonas Protectoras Cant. 3 una por lado, Citófono, Banda de seguridad, Ventilador, Rayos Infrarrojos, Paso Por Alto Automático By-Pass, Servicio de ascensorista</t>
    </r>
    <r>
      <rPr>
        <sz val="12"/>
        <color indexed="10"/>
        <rFont val="Arial"/>
        <family val="2"/>
      </rPr>
      <t>,</t>
    </r>
    <r>
      <rPr>
        <sz val="12"/>
        <color indexed="8"/>
        <rFont val="Arial"/>
        <family val="2"/>
      </rPr>
      <t xml:space="preserve"> Sistema braille, Apagado automático de ventilador, Apagado automático de luz, Luz de emergencia en cabina con Batería Recargable, Cancelación de Llamada Falsa tipo botón de cabina, Sistema de emergencia para nivelación con baterías en caso de interrupciones ó cortes del suministro eléctrico total de duración mayor a 6 seg., Anulación de operación puertas, Sensor de sobrecarga.Viaje de carga llena: solo se responde a llamadas de cabina hasta que se temine esta condicion. AUTO RESCATE: en caso de no llegar  a nivel en cualquier piso, se debe activar la funcion de  auto rescate  a baja velocidad, guiandolo hasta la parada mas proxima  para efectuar  la evacuacion.Tiempo de puertas :  el tiempo de permanencia de puertas abiertas despues de atender una llamada es programable por el ajustador.  Reapertura  de puertas por llamada  de hall, cuando la cabina se encuentre en el piso a nivel y se suprime la llamda de hall (subrir  o bajar), la cabina se abrira automaticamente.  Posibiliadad de conexion a planta eléctrica mediante contacto seco .Dispositivo de sobrecarga con alarma sonora y anuncio de llegada a piso. Parqueo automático: una vez la última llamada registrada sea atendida, la cabina se dirige automáticamente a su piso de  de parqueo.  Manejo independiente: Solo responde a llamadas de cabina y cierra puertas solo si se presiona el botón de cerrar puertas. Parqueo permanente: Mediante una llave instalada en el piso principal  el equipo  puede ser parqueado y deshabilitado. Señal de sobrecarga. El equipo debe poseer un sensor de carga que al registrar el 110% de carga nominal, active una señal sonora e impida el cierre de las puertas y se desactive  al registrar carga inferior a 110%. Función de eliminación de llamadas en cabina con poca carga:        si el sensor de carga registra una carga inferior a 20% de la carga nominal, impida que sea registrada  más de 3 llamadas en la cabina. Intercomunicador de tres estaciones: cabina, recepción y modulo de control.    en caso de alarma de fuego el switch  ubicado en la caja instalada en el piso principal, es activado y colocado en la posición ON, , el ascensor se detendrá en la parada más próxima y viajaran hasta el piso principal, las botones de llamados de cabina y  hall quedaran desactivados . Una vez llegado al piso principal, allí permanecerá permanentemente con las puertas abiertas. </t>
    </r>
    <r>
      <rPr>
        <b/>
        <sz val="12"/>
        <color indexed="8"/>
        <rFont val="Arial"/>
        <family val="2"/>
      </rPr>
      <t xml:space="preserve">INCLUYE : construcción de la estructura metálica, suministro y Servicio de instalación y puesta en funcionamiento del ascensor nuevo sin sala de maquinas.Según diseño. (Incluye equipo para trabajo en alturas según norma vigente).
                                                                                                                            </t>
    </r>
  </si>
  <si>
    <t>9,25A</t>
  </si>
  <si>
    <t>PELICULA ADHESIVA DE SEGURIDAD COMBINADA CON CONTROL SOLAR RAYOS UV, AISLAMIENTO TERMICO, IMPERMEABLE  y PROTECCION ANTIVANDALICA</t>
  </si>
  <si>
    <t>INSTALACIONES HIDROSANITARIAS,RED DE AGUAS LLUVIAS</t>
  </si>
  <si>
    <t>SISTEMAS DE DETECCION Y PROTECCIÓN CONTRAINCENDIOS  Y EXTINCIÓN Y SUPRESION DE INCENDIOS.</t>
  </si>
  <si>
    <t>ACUMULADO</t>
  </si>
  <si>
    <t>EMPALME UNIVERSIDAD DEL CAUCA DE FIBRA OPTICA - CANALIZACION - desde Instituto de Postgrados (IPET) hasta nuevo EDIFICIO de la DIVISION  DE  TICS</t>
  </si>
  <si>
    <t>SUMINISTRO APLICACION DE  PINTURA EXTERIOR EN FACHADA  KORAZA PLASTICA SUPERF.REPELLO [3M].(Incluye equipo para trabajo en alturas según norma vigente). Incluye pintura de cornisa tipo remarco perimetral de vanos  de fachada</t>
  </si>
  <si>
    <t>ENCHAPE RECERCADO DE VANOS DE FACHADA MEDIANTE PIEZAS DE MOLDURA EN CONCRETO PREFABRICADO COLOCADO COMO MARCO AL CONTORNO DE VANOS SEGÚN DISEÑO</t>
  </si>
  <si>
    <t>SUMINISTRO E INSTALACIÓN DE GUARDAESCOBA  EN GRANITO, tipo Alfa o similar, pulido  h= 0.07 recto</t>
  </si>
  <si>
    <t>SUMINISTRO E INSTALACION DE  BALDOSA DE GRANO DE MARMOL DE 33*33 TIPO ALFA O SIMILAR, PULIDA Y BRILLADA</t>
  </si>
  <si>
    <t>Suministro e instalación de Ventana en aluminio natural , corredera 1 nave,  configuración 0-X Ref. 744, cierre dumi una cara, vidrio cristal flotado claro 5mm tipo V-1 (acabado certificado por fabricante). Son 4 Unidades. Dimensiones 2,00 X 1,4.</t>
  </si>
  <si>
    <t>Construcción, suministro e instalación  de puerta y marco una nave, Tipo P8 en aluminio anodizado natural ; marco en perfiles 3" x 1" con aleta U74. Puerta y perfileria T103, dos cuerpos  en vidrio cristal flotado 5 mm con pisavidrios S343 y S344. Chapa yale doble manija.Puerta enbisagrada, incluye fallebas, Dimensiones 0,85 x  2.30 metros. (Acabado certificado por fabricante.(Ver esquema)) Son 2 Unidades.</t>
  </si>
  <si>
    <r>
      <t>Construcción, suministro e instalación  de puerta y marco una nave, Tipo P11, en aluminio natural configuración X;  marco sistema corredizo pesado 8025,  dividida en cuatro cuerpos verticales</t>
    </r>
    <r>
      <rPr>
        <sz val="12"/>
        <color indexed="10"/>
        <rFont val="Arial"/>
        <family val="2"/>
      </rPr>
      <t xml:space="preserve"> </t>
    </r>
    <r>
      <rPr>
        <sz val="12"/>
        <rFont val="Arial"/>
        <family val="2"/>
      </rPr>
      <t>, vidrio fijo en cristal flotado 5 mm, con pisavidrios S343 y S344,  y perfilería de 3" x 1  1/2",  incluye cerradura tipo pico de loro y rodamientos metálicos.  Dimensiones 2,15 x 2,30 metros. (Acabado certificado por fabricante.(Ver esquema))Es 1 Unidad.</t>
    </r>
  </si>
  <si>
    <r>
      <t xml:space="preserve">                       </t>
    </r>
    <r>
      <rPr>
        <b/>
        <i/>
        <sz val="12"/>
        <rFont val="Arial"/>
        <family val="2"/>
      </rPr>
      <t>UNIVERSIDAD DEL CAUCA</t>
    </r>
  </si>
  <si>
    <t>Tipologia</t>
  </si>
  <si>
    <t>V-1</t>
  </si>
  <si>
    <t>V-2</t>
  </si>
  <si>
    <t>V-3</t>
  </si>
  <si>
    <t>V-3A</t>
  </si>
  <si>
    <t>V-4</t>
  </si>
  <si>
    <t>V-5</t>
  </si>
  <si>
    <t>V-6</t>
  </si>
  <si>
    <t>V-7</t>
  </si>
  <si>
    <t>V-8</t>
  </si>
  <si>
    <t>V-9</t>
  </si>
  <si>
    <t>V-10</t>
  </si>
  <si>
    <t>V-11</t>
  </si>
  <si>
    <t>V-12</t>
  </si>
  <si>
    <t>V-13</t>
  </si>
  <si>
    <t>V-14</t>
  </si>
  <si>
    <t>V-15</t>
  </si>
  <si>
    <t>V-16</t>
  </si>
  <si>
    <t>V-17</t>
  </si>
  <si>
    <t>V-18</t>
  </si>
  <si>
    <t>V-19</t>
  </si>
  <si>
    <t>V-20</t>
  </si>
  <si>
    <t>V-21</t>
  </si>
  <si>
    <t>V-22</t>
  </si>
  <si>
    <t>V-22 A</t>
  </si>
  <si>
    <t>P-1</t>
  </si>
  <si>
    <t>P-2</t>
  </si>
  <si>
    <t>P-3</t>
  </si>
  <si>
    <t>P-4</t>
  </si>
  <si>
    <t>P-5</t>
  </si>
  <si>
    <t>P-6</t>
  </si>
  <si>
    <t>P-7</t>
  </si>
  <si>
    <t>P-8</t>
  </si>
  <si>
    <t>P-10</t>
  </si>
  <si>
    <t>P-11</t>
  </si>
  <si>
    <t>P-12</t>
  </si>
  <si>
    <t>P-13</t>
  </si>
  <si>
    <t>D-1</t>
  </si>
  <si>
    <t>D-2</t>
  </si>
  <si>
    <t>DIVISIONES EN VITRINA DATA CENTER</t>
  </si>
  <si>
    <t>PL-1</t>
  </si>
  <si>
    <t>PL-2</t>
  </si>
  <si>
    <r>
      <t xml:space="preserve">Suministro e instalación PELICULA SEGURIDAD COMBINADA CON CONTROL SOLAR planta de espesor 8 MIL CLEAR, </t>
    </r>
    <r>
      <rPr>
        <sz val="12"/>
        <color theme="1"/>
        <rFont val="Arial"/>
        <family val="2"/>
      </rPr>
      <t xml:space="preserve"> resistente a ralladuras. (Para algunas ventanas de fachada y áreas protegidas)</t>
    </r>
  </si>
  <si>
    <t xml:space="preserve">Suministro e instalación PELICULA adhesiva opalizada tipo Frost, en persiana  - franjas en 4 cm espaciadas cada 2 cms.  para vidrios de ventanas y puertas indicadas. </t>
  </si>
  <si>
    <t>PS-1</t>
  </si>
  <si>
    <t>BR-1</t>
  </si>
  <si>
    <t>PELICULAS ADHESIVAS DE SEGURIDAD , PROTECCION ANTIVANDALICA Y DECORATIVAS</t>
  </si>
  <si>
    <t xml:space="preserve"> ESPEJOS</t>
  </si>
  <si>
    <r>
      <t xml:space="preserve">Suministro e instalación de Ventana tipo </t>
    </r>
    <r>
      <rPr>
        <b/>
        <sz val="12"/>
        <color theme="1"/>
        <rFont val="Arial"/>
        <family val="2"/>
      </rPr>
      <t>V-1</t>
    </r>
    <r>
      <rPr>
        <sz val="12"/>
        <color theme="1"/>
        <rFont val="Arial"/>
        <family val="2"/>
      </rPr>
      <t xml:space="preserve"> en aluminio natural , CORREDIZA 1 nave,  CON RIEL INCLINADO configuración 0-X Ref. 744, cierre dumi una cara, vidrio cristal flotado claro 5mm  (acabado certificado por fabricante). Son 7 Unidades. Dimensiones 2,00 X 1,4 mts. </t>
    </r>
  </si>
  <si>
    <r>
      <t xml:space="preserve">Suministro e instalación de Ventana  tipo </t>
    </r>
    <r>
      <rPr>
        <b/>
        <sz val="12"/>
        <color theme="1"/>
        <rFont val="Arial"/>
        <family val="2"/>
      </rPr>
      <t>V-3</t>
    </r>
    <r>
      <rPr>
        <sz val="12"/>
        <color theme="1"/>
        <rFont val="Arial"/>
        <family val="2"/>
      </rPr>
      <t xml:space="preserve"> en aluminio natural , PROYECTANTE HORIZONTAL  una nave, configuración X Ref. 744, manija proyectante una cara, vidrio cristal flotado claro 5mm (acabado certificado por fabricante).Son 22 Unidades. Dimensiones 0,60 X 0,60 mts. (Incluye equipo para trabajo en alturas según norma vigente).</t>
    </r>
  </si>
  <si>
    <r>
      <t xml:space="preserve">Suministro e instalación de Ventana tipo </t>
    </r>
    <r>
      <rPr>
        <b/>
        <sz val="12"/>
        <color theme="1"/>
        <rFont val="Arial"/>
        <family val="2"/>
      </rPr>
      <t>V-2</t>
    </r>
    <r>
      <rPr>
        <sz val="12"/>
        <color theme="1"/>
        <rFont val="Arial"/>
        <family val="2"/>
      </rPr>
      <t xml:space="preserve"> en aluminio natural , CORREDIZA 1 nave,  CON RIEL INCLINADO  Ref. 744, cierre dumi una cara, vidrio cristal flotado claro 5mm  (acabado certificado por fabricante).  Es 1 Unidad. Dimensiones 2,00 X 1,7 mts.</t>
    </r>
  </si>
  <si>
    <r>
      <t xml:space="preserve">Suministro e instalación de Ventana tipo </t>
    </r>
    <r>
      <rPr>
        <b/>
        <sz val="12"/>
        <color theme="1"/>
        <rFont val="Arial"/>
        <family val="2"/>
      </rPr>
      <t>V-3 A</t>
    </r>
    <r>
      <rPr>
        <sz val="12"/>
        <color theme="1"/>
        <rFont val="Arial"/>
        <family val="2"/>
      </rPr>
      <t xml:space="preserve">  en aluminio natural ,   PROYECTANTE HORIZONTAL  CON PISAVIDRIO BISELADO POR EL INTERIOR NAVE DE 0,6 m , configuración X-0 Ref. 3831, manija proyectante una cara, vidrio cristal flotado claro 5mm (acabado certificado por fabricante). Es 1 Unidad. Dimensiones 1,20 X 0,50 mts.  , </t>
    </r>
  </si>
  <si>
    <r>
      <t>Suministro e instalación de Ventana tipo</t>
    </r>
    <r>
      <rPr>
        <b/>
        <sz val="12"/>
        <color theme="1"/>
        <rFont val="Arial"/>
        <family val="2"/>
      </rPr>
      <t xml:space="preserve"> V-5</t>
    </r>
    <r>
      <rPr>
        <sz val="12"/>
        <color theme="1"/>
        <rFont val="Arial"/>
        <family val="2"/>
      </rPr>
      <t xml:space="preserve"> en aluminio natural , CORREDIZA  CON RIEL INCLINADO  1 nave,  configuración 0-X Ref. 744, cierre dumi una cara, vidrio cristal flotado claro 5mm  (acabado certificado por fabricante).Son 5 Unidades. Dimensiones 1,00 X 1,00 mts. </t>
    </r>
  </si>
  <si>
    <r>
      <t xml:space="preserve">Suministro e instalación de Ventana  tipo </t>
    </r>
    <r>
      <rPr>
        <b/>
        <sz val="12"/>
        <color theme="1"/>
        <rFont val="Arial"/>
        <family val="2"/>
      </rPr>
      <t xml:space="preserve">V-4 </t>
    </r>
    <r>
      <rPr>
        <sz val="12"/>
        <color theme="1"/>
        <rFont val="Arial"/>
        <family val="2"/>
      </rPr>
      <t xml:space="preserve">en aluminio natural , CUERPO FIJO   Ref. 3831, POLIGONAL CON PISAVIDRIO BISELADO AL INTERIOR O CON JUNTAS A TOPE vidrio cristal flotado claro 5mm (acabado certificado por fabricante). Es 1 Unidad. Dimensiones 2,8 X 0,60 mts. </t>
    </r>
  </si>
  <si>
    <r>
      <t xml:space="preserve">Suministro e instalación de Ventana tipo </t>
    </r>
    <r>
      <rPr>
        <b/>
        <sz val="12"/>
        <color theme="1"/>
        <rFont val="Arial"/>
        <family val="2"/>
      </rPr>
      <t>V-6</t>
    </r>
    <r>
      <rPr>
        <sz val="12"/>
        <color theme="1"/>
        <rFont val="Arial"/>
        <family val="2"/>
      </rPr>
      <t xml:space="preserve"> en aluminio natural , PROYECTANTE HORIZONTAL  CON PISAVIDRIO BISELADO POR EL INTERIOR dos NAVES DE 0,775 m, configuración X-0-0-X Ref. 3831, manija proyectante una cara, vidrio cristal flotado claro 5mm  (acabado certificado por fabricante).Son 2 Unidades. Dimensiones 3,10 X 0,60 mts.</t>
    </r>
  </si>
  <si>
    <r>
      <t xml:space="preserve">Suministro e instalación de Ventana tipo </t>
    </r>
    <r>
      <rPr>
        <b/>
        <sz val="12"/>
        <color theme="1"/>
        <rFont val="Arial"/>
        <family val="2"/>
      </rPr>
      <t xml:space="preserve">V-7 </t>
    </r>
    <r>
      <rPr>
        <sz val="12"/>
        <color theme="1"/>
        <rFont val="Arial"/>
        <family val="2"/>
      </rPr>
      <t xml:space="preserve">en aluminio natural , CORREDIZA CON RIEL INCLINADO 1 nave,  configuración 0-X Ref. 744, cierre dumi una cara, vidrio cristal flotado claro 5mm (acabado certificado por fabricante). Son 4 Unidades. Dimensiones 1,20 X 1,20 mts.    </t>
    </r>
  </si>
  <si>
    <r>
      <t xml:space="preserve">Suministro e instalación de Ventana tipo </t>
    </r>
    <r>
      <rPr>
        <b/>
        <sz val="12"/>
        <color theme="1"/>
        <rFont val="Arial"/>
        <family val="2"/>
      </rPr>
      <t>V-8</t>
    </r>
    <r>
      <rPr>
        <sz val="12"/>
        <color theme="1"/>
        <rFont val="Arial"/>
        <family val="2"/>
      </rPr>
      <t xml:space="preserve">,  CUERPO FIJO SON SOPORTE TIPO SPIDER EN ACERO INOXIDABLE O CRISTAL TEMPLADO de 10 mm , incluye anclajes y soportes en acero inoxidable  (acabado certificado por fabricante). Es 1 Unidad. Dimensiones 7,85 X 2,05 mts. (Incluye equipo para trabajo en alturas según norma vigente).  </t>
    </r>
  </si>
  <si>
    <r>
      <t xml:space="preserve">Suministro e instalación de Ventana tipo </t>
    </r>
    <r>
      <rPr>
        <b/>
        <sz val="12"/>
        <color theme="1"/>
        <rFont val="Arial"/>
        <family val="2"/>
      </rPr>
      <t xml:space="preserve">V-9 </t>
    </r>
    <r>
      <rPr>
        <sz val="12"/>
        <color theme="1"/>
        <rFont val="Arial"/>
        <family val="2"/>
      </rPr>
      <t xml:space="preserve">CUERPO FIJO SON SOPORTE TIPO SPIDER EN ACERO INOXIDABLE O CRISTAL TEMPLADO de 10 mm , incluye anclajes y soportes en acero inoxidable  , (acabado certificado por fabricante).Son 2 Unidades. Dimensiones 3,75 X 1,65 mts. (Incluye equipo para trabajo en alturas según norma vigente).  </t>
    </r>
  </si>
  <si>
    <r>
      <t xml:space="preserve">Suministro e instalación de Ventana  tipo </t>
    </r>
    <r>
      <rPr>
        <b/>
        <sz val="12"/>
        <color theme="1"/>
        <rFont val="Arial"/>
        <family val="2"/>
      </rPr>
      <t>V-10</t>
    </r>
    <r>
      <rPr>
        <sz val="12"/>
        <color theme="1"/>
        <rFont val="Arial"/>
        <family val="2"/>
      </rPr>
      <t xml:space="preserve"> en aluminio natural ,  PROYECTANTE HORIZONTAL CON PISAVIDRIO BISELADO POR EL INTERIOR,NAVES DE 0,7 m, configuración X-0-0-X Ref. 3831 , manija proyectante una cara, vidrio cristal flotado claro 5mm (acabado certificado por fabricante). Es 1 Unidad. Dimensiones 2,45 X 0,60 mts.</t>
    </r>
  </si>
  <si>
    <r>
      <t xml:space="preserve">Suministro e instalación de Ventana tipo </t>
    </r>
    <r>
      <rPr>
        <b/>
        <sz val="12"/>
        <color theme="1"/>
        <rFont val="Arial"/>
        <family val="2"/>
      </rPr>
      <t>V-11</t>
    </r>
    <r>
      <rPr>
        <sz val="12"/>
        <color theme="1"/>
        <rFont val="Arial"/>
        <family val="2"/>
      </rPr>
      <t xml:space="preserve">,  CUERPO FIJO SON SOPORTE TIPO SPIDER EN ACERO INOXIDABLE O CRISTAL TEMPLADO de 10 mm , incluye anclajes y soportes en acero inoxidable   (acabado certificado por fabricante). Es 1 Unidad. Dimensiones 9,15 X 2,70 mts. (Incluye equipo para trabajo en alturas según norma vigente). </t>
    </r>
  </si>
  <si>
    <r>
      <t xml:space="preserve">Suministro e instalación de Ventana tipo </t>
    </r>
    <r>
      <rPr>
        <b/>
        <sz val="12"/>
        <color theme="1"/>
        <rFont val="Arial"/>
        <family val="2"/>
      </rPr>
      <t>V-12</t>
    </r>
    <r>
      <rPr>
        <sz val="12"/>
        <color theme="1"/>
        <rFont val="Arial"/>
        <family val="2"/>
      </rPr>
      <t xml:space="preserve">, CUERPO FIJO SON SOPORTE TIPO SPIDER EN ACERO INOXIDABLE O CRISTAL TEMPLADO  de 10 mm , incluye anclajes y soportes en acero inoxidable   (acabado certificado por fabricante). Es 1 Unidad. Dimensiones 8,80 X 1,60 mts. (Incluye equipo para trabajo en alturas según norma vigente). </t>
    </r>
  </si>
  <si>
    <r>
      <t xml:space="preserve">Suministro e instalación de Ventana tipo </t>
    </r>
    <r>
      <rPr>
        <b/>
        <sz val="12"/>
        <color theme="1"/>
        <rFont val="Arial"/>
        <family val="2"/>
      </rPr>
      <t>V-13</t>
    </r>
    <r>
      <rPr>
        <sz val="12"/>
        <color theme="1"/>
        <rFont val="Arial"/>
        <family val="2"/>
      </rPr>
      <t xml:space="preserve"> en aluminio natural CUERPO FIJO  ESQUINERO CON PISAVIDRIO BISELADO AL INTERIOR O CON JUNTA A TOPE , Ref. 3831, vidrio cristal flotado claro 5mm  (acabado certificado por fabricante). Es 1 Unidad en forma de Ele. Dimensiones (1,50 + 0,90) X 1,20 mts. </t>
    </r>
  </si>
  <si>
    <r>
      <t xml:space="preserve">Suministro e instalación de Ventana tipo </t>
    </r>
    <r>
      <rPr>
        <b/>
        <sz val="12"/>
        <color theme="1"/>
        <rFont val="Arial"/>
        <family val="2"/>
      </rPr>
      <t>V-14</t>
    </r>
    <r>
      <rPr>
        <sz val="12"/>
        <color theme="1"/>
        <rFont val="Arial"/>
        <family val="2"/>
      </rPr>
      <t xml:space="preserve">  en aluminio natural , PROYECTANTE HORIZONTAL , configuración X Ref. 3831, manija proyectante una cara, vidrio cristal flotado claro 5mm (acabado certificado por fabricante).Son 7 Unidades. Dimensiones 0,50 X 0,50 mts. (Incluye equipo para trabajo en alturas según norma vigente).  </t>
    </r>
  </si>
  <si>
    <r>
      <t xml:space="preserve">Suministro e instalación de Ventana tipo </t>
    </r>
    <r>
      <rPr>
        <b/>
        <sz val="12"/>
        <color theme="1"/>
        <rFont val="Arial"/>
        <family val="2"/>
      </rPr>
      <t>V-15</t>
    </r>
    <r>
      <rPr>
        <sz val="12"/>
        <color theme="1"/>
        <rFont val="Arial"/>
        <family val="2"/>
      </rPr>
      <t xml:space="preserve">, CUERPO FIJO SON SOPORTE TIPO SPIDER EN ACERO INOXIDABLE O CRISTAL TEMPLADO de 10 mm , incluye anclajes y soportes en acero inoxidable  (acabado certificado por fabricante).Son 2 Unidades. Dimensiones 4,45 X 1,90 mts. (Incluye equipo para trabajo en alturas según norma vigente).  </t>
    </r>
  </si>
  <si>
    <r>
      <t xml:space="preserve">Suministro e instalación de Ventana tipo </t>
    </r>
    <r>
      <rPr>
        <b/>
        <sz val="12"/>
        <color theme="1"/>
        <rFont val="Arial"/>
        <family val="2"/>
      </rPr>
      <t>V-16</t>
    </r>
    <r>
      <rPr>
        <sz val="12"/>
        <color theme="1"/>
        <rFont val="Arial"/>
        <family val="2"/>
      </rPr>
      <t xml:space="preserve">, CUERPO FIJO SON SOPORTE TIPO SPIDER EN ACERO INOXIDABLE O CRISTAL TEMPLADO de 10 mm , incluye anclajes y soportes en acero inoxidable   (acabado certificado por fabricante).Son 2 Unidades. Dimensiones 3,50 X 1,65 mts. (Incluye equipo para trabajo en alturas según norma vigente). </t>
    </r>
  </si>
  <si>
    <r>
      <t xml:space="preserve">Suministro e instalación de Ventana tipo </t>
    </r>
    <r>
      <rPr>
        <b/>
        <sz val="12"/>
        <color theme="1"/>
        <rFont val="Arial"/>
        <family val="2"/>
      </rPr>
      <t xml:space="preserve">V-17 </t>
    </r>
    <r>
      <rPr>
        <sz val="12"/>
        <color theme="1"/>
        <rFont val="Arial"/>
        <family val="2"/>
      </rPr>
      <t xml:space="preserve">en aluminio natural ,  PROYECTANTE HORIZONTAL  CON PISAVIDRIO BISELADO POR EL INTERIOR , NAVES DE 0,875 m, configuración X-0-0-X Ref. 3831, manija proyectante una cara, vidrio cristal flotado claro 5mm  (acabado certificado por fabricante). Es 1 Unidad. Dimensiones 3,50 X 1,00 mts. </t>
    </r>
  </si>
  <si>
    <r>
      <t xml:space="preserve">Suministro e instalación de Ventana tipo </t>
    </r>
    <r>
      <rPr>
        <b/>
        <sz val="12"/>
        <color theme="1"/>
        <rFont val="Arial"/>
        <family val="2"/>
      </rPr>
      <t xml:space="preserve">V-18 </t>
    </r>
    <r>
      <rPr>
        <sz val="12"/>
        <color theme="1"/>
        <rFont val="Arial"/>
        <family val="2"/>
      </rPr>
      <t xml:space="preserve">en aluminio natural , CORREDIZA CON RIEL INCLINADO,  configuración X-0-0-X Ref. 744, cierre dumi una cara, vidrio cristal flotado claro 5mm  (acabado certificado por fabricante).Son 2 Unidades. Dimensiones 3,10 X 1,65 mts. (Incluye equipo para trabajo en alturas según norma vigente).   </t>
    </r>
  </si>
  <si>
    <r>
      <t xml:space="preserve">Suministro e instalación de Ventana  tipo </t>
    </r>
    <r>
      <rPr>
        <b/>
        <sz val="12"/>
        <color theme="1"/>
        <rFont val="Arial"/>
        <family val="2"/>
      </rPr>
      <t>V-19</t>
    </r>
    <r>
      <rPr>
        <sz val="12"/>
        <color theme="1"/>
        <rFont val="Arial"/>
        <family val="2"/>
      </rPr>
      <t xml:space="preserve">, CUERPO FIJO SON SOPORTE TIPO SPIDER EN ACERO INOXIDABLE O CRISTAL TEMPLADO de 10 mm , incluye anclajes y soportes en acero inoxidable (acabado certificado por fabricante).Son 2 Unidades. Dimensiones 6,30 X 1,90 mts. (Incluye equipo para trabajo en alturas según norma vigente).   </t>
    </r>
  </si>
  <si>
    <r>
      <t xml:space="preserve">Suministro e instalación de Ventana tipo </t>
    </r>
    <r>
      <rPr>
        <b/>
        <sz val="12"/>
        <color theme="1"/>
        <rFont val="Arial"/>
        <family val="2"/>
      </rPr>
      <t xml:space="preserve">V-20 </t>
    </r>
    <r>
      <rPr>
        <sz val="12"/>
        <color theme="1"/>
        <rFont val="Arial"/>
        <family val="2"/>
      </rPr>
      <t xml:space="preserve">en aluminio natural , VENTANA CORREDIZA 744 CON RIEL INCLINADO SOBRE CUERPO FIJO 3831 CON PISAVIDRIO BISELADO AL INTERIOR  configuración 0-X/O , cierre dumi una cara, vidrio cristal flotado claro 5mm (acabado certificado por fabricante).Son 2 Unidades. Dimensiones 2,45 X 1,00 mts. (Incluye equipo para trabajo en alturas según norma vigente).   </t>
    </r>
  </si>
  <si>
    <r>
      <t xml:space="preserve">Suministro e instalación de Ventana tipo </t>
    </r>
    <r>
      <rPr>
        <b/>
        <sz val="12"/>
        <color theme="1"/>
        <rFont val="Arial"/>
        <family val="2"/>
      </rPr>
      <t>V-21</t>
    </r>
    <r>
      <rPr>
        <sz val="12"/>
        <color theme="1"/>
        <rFont val="Arial"/>
        <family val="2"/>
      </rPr>
      <t xml:space="preserve"> en aluminio natural , CORREDIZA CON RIEL INCLINADO,  configuración 0-X Ref. 744, cierre dumi una cara, vidrio cristal flotado claro 5mm  (acabado certificado por fabricante). Es 1 Unidad. Dimensiones 0,90 X 1,00 mts.     </t>
    </r>
  </si>
  <si>
    <r>
      <t xml:space="preserve">Suministro e instalacion de PERSIANA tipo </t>
    </r>
    <r>
      <rPr>
        <b/>
        <sz val="12"/>
        <rFont val="Arial"/>
        <family val="2"/>
      </rPr>
      <t>V-22</t>
    </r>
    <r>
      <rPr>
        <sz val="12"/>
        <rFont val="Arial"/>
        <family val="2"/>
      </rPr>
      <t xml:space="preserve">. QUIEBRASOL FLOTANTE SERIE 45 CON CORTASOL AEROBRISE 100 LISO EN ALUZINC CON PASO DE 39 mm. (acabado certificado por fabricante). Es 1 Unidad.. DIMENSIONES 1,40 * 8,20 mts. (Incluye equipo para trabajo en alturas según norma vigente). </t>
    </r>
  </si>
  <si>
    <r>
      <t xml:space="preserve">Suministro e instalacion de Ventana  tipo </t>
    </r>
    <r>
      <rPr>
        <b/>
        <sz val="12"/>
        <rFont val="Arial"/>
        <family val="2"/>
      </rPr>
      <t>V-22A</t>
    </r>
    <r>
      <rPr>
        <sz val="12"/>
        <rFont val="Arial"/>
        <family val="2"/>
      </rPr>
      <t xml:space="preserve">, CUERPO FIJO SON SOPORTE TIPO SPIDER EN ACERO INOXIDABLE O CRISTAL TEMPLADO de 10 mm , incluye anclajes y soportes en acero inoxidable  (acabado certificado por fabricante).Son 2 Unidades. DIMENSIONES 1,40 * 4,10 mts. (Incluye equipo para trabajo en alturas según norma vigente). </t>
    </r>
  </si>
  <si>
    <t xml:space="preserve">DEL EDIFICIO DESTINADO AL COMPONENTE DE GESTIÓN DE TECNOLOGIAS DE LA INFORMACIÒN Y LA COMUNICACIÓN (EDIFICIO TIC) DE LA UNIVERSIDAD DEL CAUCA.                                                                                                                                                                                                                                                                                                    </t>
  </si>
  <si>
    <t>Suministro e Instalación de Espejo 5mm</t>
  </si>
  <si>
    <t>NA</t>
  </si>
  <si>
    <t>IVA (16%)</t>
  </si>
  <si>
    <t>SUBTOTAL</t>
  </si>
  <si>
    <t>GRAN TOTAL</t>
  </si>
  <si>
    <t>Suministro e Instalación de CUBIERTA EN POLICARBONATO DE 10mm COLOR CRISTAL/ Incluye estructura metálica para soporte en tuberíra rectangular de 6 x 4 cal.2 mm y canales  de Conducción de aguas lluvias, suministro y colocación de teja de POLICARBONATO ALVEOLAR DE 10mm COLOR CRISTAL, incluye: sistemas de fijación, amarras, platinas de apoyo, tornillos de fijación, soldaduras, pintura anticorrosivo cromato de zinc y esmalte de primera calidad para intemperie. (Incluye equipo para trabajo en alturas según norma vigente).</t>
  </si>
  <si>
    <r>
      <t xml:space="preserve">Suministro e Instalación de puerta y marco cuatro naves Tipo </t>
    </r>
    <r>
      <rPr>
        <b/>
        <sz val="12"/>
        <color theme="1"/>
        <rFont val="Arial"/>
        <family val="2"/>
      </rPr>
      <t>P1</t>
    </r>
    <r>
      <rPr>
        <sz val="12"/>
        <color theme="1"/>
        <rFont val="Arial"/>
        <family val="2"/>
      </rPr>
      <t>, PUERTA BATIENTE Ref. 3890 CON PISAVIDRIO BISELADO POR EL INTERIOR  configuración O-X-X-O, CON HORIZONTAL INTERMEDIO;  en aluminio  natural.  Chapa yale doble manija.Puerta enbisagrada, incluye fallebas, Dimensiones 3,0 x 2,30 metros. (Acabado certificado por fabricante), Dimensiones 3,00 x  2.30 metros.  Es 1 Unidad.</t>
    </r>
  </si>
  <si>
    <r>
      <t xml:space="preserve">Suministro e Instalación de puerta y marco cuatro naves, Tipo </t>
    </r>
    <r>
      <rPr>
        <b/>
        <sz val="12"/>
        <color theme="1"/>
        <rFont val="Arial"/>
        <family val="2"/>
      </rPr>
      <t>P2</t>
    </r>
    <r>
      <rPr>
        <sz val="12"/>
        <color theme="1"/>
        <rFont val="Arial"/>
        <family val="2"/>
      </rPr>
      <t xml:space="preserve">, en aluminio natural configuración O-X-X-O;  CORREDIZA pesada 8025,   CON ENGANCHE EXTERIOR REFORZADO Y RIEL INCLINADO, CON HORIZONTAL INTERMEDIO, las 4 naves con dos cuerpos c/u, vidrio fijo en cristal flotado 5 mm, incluye cerradura tipo pico de loro y rodamientos metálicos.  Dimensiones 2,50 x 2,30 metros. (Acabado certificado por fabricante.) Son 6 Unidades.    </t>
    </r>
  </si>
  <si>
    <r>
      <t xml:space="preserve">Suministro e Instalación  de puerta y marco cuatro naves, Tipo </t>
    </r>
    <r>
      <rPr>
        <b/>
        <sz val="12"/>
        <color theme="1"/>
        <rFont val="Arial"/>
        <family val="2"/>
      </rPr>
      <t>P3</t>
    </r>
    <r>
      <rPr>
        <sz val="12"/>
        <color theme="1"/>
        <rFont val="Arial"/>
        <family val="2"/>
      </rPr>
      <t xml:space="preserve">, en aluminio natural configuración O-X-X-O;  marco sistema CORREDIZA pesada 8025,CON ENGANCHE EXTERIOR REFORZADO Y RIEL INCLINADO, HORIZONTAL INTERMEDIO, las 4 naves con dos cuerpos c/u, vidrio fijo en cristal flotado 5 mm, incluye cerradura tipo pico de loro y rodamientos metálicos.  Dimensiones 2,00 x 2,30 metros. (Acabado certificado por fabricante.) Son 5 Unidades. </t>
    </r>
  </si>
  <si>
    <r>
      <t xml:space="preserve">Suministro e Instalación de puerta y marco una nave, Tipo </t>
    </r>
    <r>
      <rPr>
        <b/>
        <sz val="12"/>
        <color theme="1"/>
        <rFont val="Arial"/>
        <family val="2"/>
      </rPr>
      <t>P4</t>
    </r>
    <r>
      <rPr>
        <sz val="12"/>
        <color theme="1"/>
        <rFont val="Arial"/>
        <family val="2"/>
      </rPr>
      <t xml:space="preserve"> ,  en aluminio natural configuración XX;  CORREDIZA PESADA 8025 POCKET DOS PISTAS CON RIEL INCLINADO, CON HORIZONTAL INTERMEDIO,  dividida en cuatro cuerpos verticales</t>
    </r>
    <r>
      <rPr>
        <sz val="12"/>
        <color indexed="10"/>
        <rFont val="Arial"/>
        <family val="2"/>
      </rPr>
      <t xml:space="preserve"> </t>
    </r>
    <r>
      <rPr>
        <sz val="12"/>
        <rFont val="Arial"/>
        <family val="2"/>
      </rPr>
      <t xml:space="preserve">, vidrio fijo en cristal flotado 5 mm, con pisavidrios S343 y S344,  y perfilería de 3" x 1  1/2",  incluye cerradura tipo pico de loro y rodamientos metálicos.  Dimensiones 1,60 x 2,30 metros. (Acabado certificado por fabricante.) Es 1 Unidad.  </t>
    </r>
  </si>
  <si>
    <r>
      <t xml:space="preserve">Suministro e Instalación de puerta y marco una nave, Tipo </t>
    </r>
    <r>
      <rPr>
        <b/>
        <sz val="12"/>
        <color theme="1"/>
        <rFont val="Arial"/>
        <family val="2"/>
      </rPr>
      <t>P5</t>
    </r>
    <r>
      <rPr>
        <sz val="12"/>
        <color theme="1"/>
        <rFont val="Arial"/>
        <family val="2"/>
      </rPr>
      <t xml:space="preserve"> ,  en aluminio natural configuración XX;  CORREDIZA PESADA 8025 POCKET DOS PISTAS CON RIEL INCLINADO, CON HORIZONTAL INTERMEDIO,  dividida en cuatro cuerpos verticales</t>
    </r>
    <r>
      <rPr>
        <sz val="12"/>
        <color indexed="10"/>
        <rFont val="Arial"/>
        <family val="2"/>
      </rPr>
      <t xml:space="preserve"> </t>
    </r>
    <r>
      <rPr>
        <sz val="12"/>
        <rFont val="Arial"/>
        <family val="2"/>
      </rPr>
      <t xml:space="preserve">, vidrio fijo en cristal flotado 5 mm, con pisavidrios S343 y S344,  y perfilería de 3" x 1  1/2",  incluye cerradura tipo pico de loro y rodamientos metálicos.  Dimensiones 1,75 x 2,30 metros. (Acabado certificado por fabricante.) Son 3 Unidades.  </t>
    </r>
  </si>
  <si>
    <r>
      <t xml:space="preserve">Suministro e Instalación  de puerta y marco una nave, Tipo </t>
    </r>
    <r>
      <rPr>
        <b/>
        <sz val="12"/>
        <color theme="1"/>
        <rFont val="Arial"/>
        <family val="2"/>
      </rPr>
      <t>P6</t>
    </r>
    <r>
      <rPr>
        <sz val="12"/>
        <color theme="1"/>
        <rFont val="Arial"/>
        <family val="2"/>
      </rPr>
      <t xml:space="preserve"> en aluminio anodizado natural ;BATIENTE Ref. 3890 CON PISAVIDRIO BISELADO POR EL INTERIOR X CON HORIZONTAL INTERMEDIO, dos cuerpos  en vidrio cristal flotado 5 mm incluye Chapa yale doble manija.Puerta enbisagrada, incluye fallebas, Dimensiones 0,90 x  2.30 metros. (Acabado certificado por fabricante.) Son 12 Unidades.  </t>
    </r>
  </si>
  <si>
    <r>
      <t xml:space="preserve">Suministro e Instalación de puerta y marco una nave, Tipo </t>
    </r>
    <r>
      <rPr>
        <b/>
        <sz val="12"/>
        <color theme="1"/>
        <rFont val="Arial"/>
        <family val="2"/>
      </rPr>
      <t>P7</t>
    </r>
    <r>
      <rPr>
        <sz val="12"/>
        <color theme="1"/>
        <rFont val="Arial"/>
        <family val="2"/>
      </rPr>
      <t xml:space="preserve"> en aluminio anodizado natural ;BATIENTE Ref. 3890 CON PISAVIDRIO BISELADO POR EL INTERIOR X CON HORIZONTAL INTERMEDIO, dos cuerpos  en vidrio cristal flotado 5 mm incluye Chapa yale doble manija.Puerta enbisagrada, incluye fallebas, Dimensiones 1,00 x  2.30 metros. (Acabado certificado por fabricante.) Son 2 Unidades.  </t>
    </r>
  </si>
  <si>
    <r>
      <t xml:space="preserve">Suministro e Instalación  de puerta y marco una nave, Tipo </t>
    </r>
    <r>
      <rPr>
        <b/>
        <sz val="12"/>
        <color theme="1"/>
        <rFont val="Arial"/>
        <family val="2"/>
      </rPr>
      <t>P8</t>
    </r>
    <r>
      <rPr>
        <sz val="12"/>
        <color theme="1"/>
        <rFont val="Arial"/>
        <family val="2"/>
      </rPr>
      <t xml:space="preserve"> en aluminio anodizado natural ;BATIENTE Ref. 3890 CON PISAVIDRIO BISELADO POR EL INTERIOR X CON HORIZONTAL INTERMEDIO, dos cuerpos  en vidrio cristal flotado 5 mm incluye Chapa yale doble manija.Puerta enbisagrada, incluye fallebas, Dimensiones 0,85 x  2.30 metros. (Acabado certificado por fabricante.) Es 1 Unidad.  </t>
    </r>
  </si>
  <si>
    <r>
      <t xml:space="preserve">Suministro e Instalación  de puerta y marco una nave, Tipo </t>
    </r>
    <r>
      <rPr>
        <b/>
        <sz val="12"/>
        <color theme="1"/>
        <rFont val="Arial"/>
        <family val="2"/>
      </rPr>
      <t>P10</t>
    </r>
    <r>
      <rPr>
        <sz val="12"/>
        <color theme="1"/>
        <rFont val="Arial"/>
        <family val="2"/>
      </rPr>
      <t xml:space="preserve"> en aluminio anodizado natural ;BATIENTE Ref. 3890 CON PISAVIDRIO BISELADO POR EL INTERIOR X CON HORIZONTAL INTERMEDIO, dos cuerpos  en vidrio cristal flotado 5 mm incluye Chapa yale doble manija.Puerta enbisagrada, incluye fallebas, Dimensiones 0,60 x  2.30 metros. (Acabado certificado por fabricante.) Son 10 Unidades.  </t>
    </r>
  </si>
  <si>
    <r>
      <t xml:space="preserve">Suministro e Instalación  de puerta y marco una nave, Tipo </t>
    </r>
    <r>
      <rPr>
        <b/>
        <sz val="12"/>
        <color theme="1"/>
        <rFont val="Arial"/>
        <family val="2"/>
      </rPr>
      <t>P11</t>
    </r>
    <r>
      <rPr>
        <sz val="12"/>
        <color theme="1"/>
        <rFont val="Arial"/>
        <family val="2"/>
      </rPr>
      <t>, en aluminio natural configuración XX;   CORREDIZA PESADA 8025 POCKET BIDIRECCIONAL CON RIEL INCLINADO, CON HORIZONTAL INTERMEDIO,  dividida en cuatro cuerpos verticales</t>
    </r>
    <r>
      <rPr>
        <sz val="12"/>
        <color indexed="10"/>
        <rFont val="Arial"/>
        <family val="2"/>
      </rPr>
      <t xml:space="preserve"> </t>
    </r>
    <r>
      <rPr>
        <sz val="12"/>
        <rFont val="Arial"/>
        <family val="2"/>
      </rPr>
      <t xml:space="preserve">, vidrio fijo en cristal flotado 5 mm,  incluye cerradura tipo pico de loro y rodamientos metálicos.  Dimensiones 2,15 x 2,30 metros. (Acabado certificado por fabricante.) Es 1 Unidad.    </t>
    </r>
  </si>
  <si>
    <r>
      <t xml:space="preserve">Suministro e Instalación  de puerta y marco cuatro naves, Tipo </t>
    </r>
    <r>
      <rPr>
        <b/>
        <sz val="12"/>
        <color theme="1"/>
        <rFont val="Arial"/>
        <family val="2"/>
      </rPr>
      <t>P12</t>
    </r>
    <r>
      <rPr>
        <sz val="12"/>
        <color theme="1"/>
        <rFont val="Arial"/>
        <family val="2"/>
      </rPr>
      <t xml:space="preserve">, en aluminio natural configuración O-X-X-O;  marco sistema CORREDIZA pesada 8025,CON ENGANCHE EXTERIOR REFORZADO Y RIEL INCLINADO, HORIZONTAL INTERMEDIO, las 4 naves con dos cuerpos c/u, vidrio fijo en cristal flotado 5 mm, incluye cerradura tipo pico de loro y rodamientos metálicos.  Dimensiones 1,40 x 2,30 metros. (Acabado certificado por fabricante.) Son 5 Unidades. </t>
    </r>
  </si>
  <si>
    <r>
      <t xml:space="preserve">Suministro e Instalación  de puerta y marco una nave, Tipo </t>
    </r>
    <r>
      <rPr>
        <b/>
        <sz val="12"/>
        <color theme="1"/>
        <rFont val="Arial"/>
        <family val="2"/>
      </rPr>
      <t>P13</t>
    </r>
    <r>
      <rPr>
        <sz val="12"/>
        <color theme="1"/>
        <rFont val="Arial"/>
        <family val="2"/>
      </rPr>
      <t xml:space="preserve"> en aluminio anodizado natural ;BATIENTE Ref. 3890 CON PISAVIDRIO BISELADO POR EL INTERIOR 0-X-X-0, CON HORIZONTAL INTERMEDIO, dos cuerpos  en vidrio cristal flotado 5 mm incluye Chapa yale doble manija. Puerta enbisagrada, incluye fallebas,  Son 2 Unidades, UNA Dimensiones 3,5 x 2,30 metros. (Acabado certificado por fabricante.(Ver esquema)), OTRA, Dimensiones 3,00 x  2.30 metros.          </t>
    </r>
  </si>
  <si>
    <t xml:space="preserve">Suministro e Instalación de DIVISIONES EN VITRINA 3831-4 CON PISAVIDRIO BISELADO POR EL INTERIOR OO CRISTAL TEMPLADO INCOLORO 8 mm. </t>
  </si>
  <si>
    <t>Suministro e Instalación de DIVISIONES EN VITRINA 3831-4 CON PISAVIDRIO BISELADO POR EL INTERIOR OOOO CRISTAL TEMPLADO INCOLORO 8 mm.</t>
  </si>
  <si>
    <t>Suministro e Instalación DE DIVISIONES EN ALUMINIO PARA BATERIAS DE BAÑOS ANODIZADO NATURAL, Comprende el suministro e instalación de las divisiones de los baños de hombres y mujeres  para los sanitarios y orinales. Las Divisiones deberán ser en lámina de aluminio especificada en el contrato e incluye las  puertas. Contemplaran los elementos necesarios para su instalación tales como anclajes, herrajes etc., con pasador y manija. Altura de las divisiones: para independizar los sanitarios deberán tener una altura de 2.0mts dos metros de enchape y estarán con 0.20 metros libres en area inferior.  El total de metros cuadrados incluye Seis puertas de 0.60 metros de ancho.NOTA: Acabado certificado por fabricante.</t>
  </si>
  <si>
    <t>Suministro e Instalación de Pasamanos a pared tubo GALV. 1,1/2" C/SOP.</t>
  </si>
  <si>
    <t>Suministro e Instalación de Baranda individual .tubo Galv. 2" C/Soport</t>
  </si>
  <si>
    <t>Convocatoria Publica</t>
  </si>
  <si>
    <t>Suministros</t>
  </si>
  <si>
    <t>PRESUPUESTO OFICIAL  DE  SUMINISTRO E INSTALACION DE CARPINTERIA METALICA, VIDRIOS, ESPEJOS, PELICULAS ADHESIVAS;</t>
  </si>
</sst>
</file>

<file path=xl/styles.xml><?xml version="1.0" encoding="utf-8"?>
<styleSheet xmlns="http://schemas.openxmlformats.org/spreadsheetml/2006/main">
  <numFmts count="10">
    <numFmt numFmtId="44" formatCode="_(&quot;$&quot;\ * #,##0.00_);_(&quot;$&quot;\ * \(#,##0.00\);_(&quot;$&quot;\ * &quot;-&quot;??_);_(@_)"/>
    <numFmt numFmtId="43" formatCode="_(* #,##0.00_);_(* \(#,##0.00\);_(* &quot;-&quot;??_);_(@_)"/>
    <numFmt numFmtId="164" formatCode="_ * #,##0.00_ ;_ * \-#,##0.00_ ;_ * &quot;-&quot;??_ ;_ @_ "/>
    <numFmt numFmtId="165" formatCode="&quot;$&quot;\ #,##0.00"/>
    <numFmt numFmtId="166" formatCode="_(&quot;$&quot;\ * #,##0_);_(&quot;$&quot;\ * \(#,##0\);_(&quot;$&quot;\ * &quot;-&quot;??_);_(@_)"/>
    <numFmt numFmtId="167" formatCode="#,##0.0"/>
    <numFmt numFmtId="168" formatCode="0.0"/>
    <numFmt numFmtId="169" formatCode="_ &quot;$&quot;\ * #,##0_ ;_ &quot;$&quot;\ * \-#,##0_ ;_ &quot;$&quot;\ * &quot;-&quot;??_ ;_ @_ "/>
    <numFmt numFmtId="170" formatCode="_(&quot;$&quot;\ * #,##0.000000_);_(&quot;$&quot;\ * \(#,##0.000000\);_(&quot;$&quot;\ * &quot;-&quot;??_);_(@_)"/>
    <numFmt numFmtId="171" formatCode="0.000"/>
  </numFmts>
  <fonts count="54">
    <font>
      <sz val="11"/>
      <color theme="1"/>
      <name val="Calibri"/>
      <family val="2"/>
      <scheme val="minor"/>
    </font>
    <font>
      <sz val="8"/>
      <color indexed="8"/>
      <name val="Arial"/>
      <family val="2"/>
    </font>
    <font>
      <b/>
      <sz val="8"/>
      <color indexed="8"/>
      <name val="Arial"/>
      <family val="2"/>
    </font>
    <font>
      <sz val="10"/>
      <name val="Arial"/>
      <family val="2"/>
    </font>
    <font>
      <sz val="10"/>
      <name val="Times New Roman"/>
      <family val="1"/>
    </font>
    <font>
      <sz val="12"/>
      <color indexed="8"/>
      <name val="Arial"/>
      <family val="2"/>
    </font>
    <font>
      <b/>
      <i/>
      <sz val="12"/>
      <color indexed="8"/>
      <name val="Arial"/>
      <family val="2"/>
    </font>
    <font>
      <b/>
      <sz val="12"/>
      <color indexed="8"/>
      <name val="Arial"/>
      <family val="2"/>
    </font>
    <font>
      <sz val="12"/>
      <name val="Arial"/>
      <family val="2"/>
    </font>
    <font>
      <b/>
      <sz val="12"/>
      <name val="Arial"/>
      <family val="2"/>
    </font>
    <font>
      <sz val="12"/>
      <color indexed="8"/>
      <name val="Arial"/>
      <family val="2"/>
    </font>
    <font>
      <sz val="12"/>
      <color indexed="10"/>
      <name val="Arial"/>
      <family val="2"/>
    </font>
    <font>
      <vertAlign val="superscript"/>
      <sz val="12"/>
      <color indexed="8"/>
      <name val="Arial"/>
      <family val="2"/>
    </font>
    <font>
      <b/>
      <sz val="12"/>
      <color indexed="8"/>
      <name val="Arial"/>
      <family val="2"/>
    </font>
    <font>
      <sz val="8"/>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8"/>
      <color theme="1"/>
      <name val="Arial"/>
      <family val="2"/>
    </font>
    <font>
      <b/>
      <sz val="8"/>
      <color theme="1"/>
      <name val="Arial"/>
      <family val="2"/>
    </font>
    <font>
      <sz val="12"/>
      <color theme="1"/>
      <name val="Arial"/>
      <family val="2"/>
    </font>
    <font>
      <b/>
      <i/>
      <sz val="12"/>
      <color theme="1"/>
      <name val="Arial"/>
      <family val="2"/>
    </font>
    <font>
      <b/>
      <sz val="12"/>
      <color theme="1"/>
      <name val="Arial"/>
      <family val="2"/>
    </font>
    <font>
      <sz val="12"/>
      <color rgb="FFFF0000"/>
      <name val="Arial"/>
      <family val="2"/>
    </font>
    <font>
      <b/>
      <sz val="14"/>
      <color theme="1"/>
      <name val="Arial"/>
      <family val="2"/>
    </font>
    <font>
      <sz val="14"/>
      <color theme="1"/>
      <name val="Arial"/>
      <family val="2"/>
    </font>
    <font>
      <sz val="18"/>
      <color theme="1"/>
      <name val="Arial"/>
      <family val="2"/>
    </font>
    <font>
      <sz val="9"/>
      <color theme="1"/>
      <name val="Arial"/>
      <family val="2"/>
    </font>
    <font>
      <sz val="10"/>
      <color theme="1"/>
      <name val="Arial"/>
      <family val="2"/>
    </font>
    <font>
      <sz val="10"/>
      <color theme="0"/>
      <name val="Arial"/>
      <family val="2"/>
    </font>
    <font>
      <b/>
      <sz val="10"/>
      <color theme="1"/>
      <name val="Arial"/>
      <family val="2"/>
    </font>
    <font>
      <sz val="11"/>
      <color theme="1"/>
      <name val="Arial"/>
      <family val="2"/>
    </font>
    <font>
      <sz val="9"/>
      <color rgb="FFFF0000"/>
      <name val="Arial"/>
      <family val="2"/>
    </font>
    <font>
      <b/>
      <sz val="11"/>
      <color theme="1"/>
      <name val="Arial"/>
      <family val="2"/>
    </font>
    <font>
      <b/>
      <i/>
      <sz val="12"/>
      <name val="Arial"/>
      <family val="2"/>
    </font>
    <font>
      <b/>
      <sz val="12"/>
      <color rgb="FFFF0000"/>
      <name val="Arial"/>
      <family val="2"/>
    </font>
    <font>
      <sz val="12"/>
      <color rgb="FF00642D"/>
      <name val="Arial"/>
      <family val="2"/>
    </font>
    <font>
      <b/>
      <sz val="14"/>
      <color indexed="8"/>
      <name val="Arial"/>
      <family val="2"/>
    </font>
    <font>
      <sz val="18"/>
      <name val="Arial"/>
      <family val="2"/>
    </font>
    <font>
      <sz val="16"/>
      <color theme="1"/>
      <name val="Arial"/>
      <family val="2"/>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0000"/>
        <bgColor indexed="64"/>
      </patternFill>
    </fill>
  </fills>
  <borders count="60">
    <border>
      <left/>
      <right/>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style="thin">
        <color indexed="64"/>
      </left>
      <right/>
      <top style="thin">
        <color indexed="64"/>
      </top>
      <bottom style="thin">
        <color indexed="64"/>
      </bottom>
      <diagonal/>
    </border>
    <border>
      <left style="thin">
        <color indexed="8"/>
      </left>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8"/>
      </right>
      <top style="medium">
        <color indexed="8"/>
      </top>
      <bottom style="medium">
        <color indexed="8"/>
      </bottom>
      <diagonal/>
    </border>
    <border>
      <left style="thin">
        <color indexed="64"/>
      </left>
      <right style="medium">
        <color indexed="64"/>
      </right>
      <top style="medium">
        <color indexed="8"/>
      </top>
      <bottom style="medium">
        <color indexed="8"/>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57">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7" fillId="20" borderId="0" applyNumberFormat="0" applyBorder="0" applyAlignment="0" applyProtection="0"/>
    <xf numFmtId="0" fontId="18" fillId="21" borderId="28" applyNumberFormat="0" applyAlignment="0" applyProtection="0"/>
    <xf numFmtId="0" fontId="19" fillId="22" borderId="29" applyNumberFormat="0" applyAlignment="0" applyProtection="0"/>
    <xf numFmtId="0" fontId="20" fillId="0" borderId="30" applyNumberFormat="0" applyFill="0" applyAlignment="0" applyProtection="0"/>
    <xf numFmtId="0" fontId="21" fillId="0" borderId="0" applyNumberFormat="0" applyFill="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22" fillId="29" borderId="28" applyNumberFormat="0" applyAlignment="0" applyProtection="0"/>
    <xf numFmtId="0" fontId="23" fillId="30" borderId="0" applyNumberFormat="0" applyBorder="0" applyAlignment="0" applyProtection="0"/>
    <xf numFmtId="43" fontId="15" fillId="0" borderId="0" applyFont="0" applyFill="0" applyBorder="0" applyAlignment="0" applyProtection="0"/>
    <xf numFmtId="164" fontId="3" fillId="0" borderId="0" applyFont="0" applyFill="0" applyBorder="0" applyAlignment="0" applyProtection="0"/>
    <xf numFmtId="43" fontId="4" fillId="0" borderId="0" applyFont="0" applyFill="0" applyBorder="0" applyAlignment="0" applyProtection="0"/>
    <xf numFmtId="44" fontId="15" fillId="0" borderId="0" applyFont="0" applyFill="0" applyBorder="0" applyAlignment="0" applyProtection="0"/>
    <xf numFmtId="0" fontId="24" fillId="31" borderId="0" applyNumberFormat="0" applyBorder="0" applyAlignment="0" applyProtection="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15" fillId="32" borderId="31" applyNumberFormat="0" applyFont="0" applyAlignment="0" applyProtection="0"/>
    <xf numFmtId="9" fontId="15" fillId="0" borderId="0" applyFont="0" applyFill="0" applyBorder="0" applyAlignment="0" applyProtection="0"/>
    <xf numFmtId="9" fontId="4" fillId="0" borderId="0" applyFont="0" applyFill="0" applyBorder="0" applyAlignment="0" applyProtection="0"/>
    <xf numFmtId="0" fontId="25" fillId="21" borderId="32"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33" applyNumberFormat="0" applyFill="0" applyAlignment="0" applyProtection="0"/>
    <xf numFmtId="0" fontId="30" fillId="0" borderId="34" applyNumberFormat="0" applyFill="0" applyAlignment="0" applyProtection="0"/>
    <xf numFmtId="0" fontId="21" fillId="0" borderId="35" applyNumberFormat="0" applyFill="0" applyAlignment="0" applyProtection="0"/>
    <xf numFmtId="0" fontId="31" fillId="0" borderId="36" applyNumberFormat="0" applyFill="0" applyAlignment="0" applyProtection="0"/>
    <xf numFmtId="0" fontId="3" fillId="0" borderId="0"/>
    <xf numFmtId="0" fontId="3" fillId="0" borderId="0"/>
  </cellStyleXfs>
  <cellXfs count="333">
    <xf numFmtId="0" fontId="0" fillId="0" borderId="0" xfId="0"/>
    <xf numFmtId="0" fontId="32" fillId="0" borderId="0" xfId="0" applyFont="1"/>
    <xf numFmtId="0" fontId="32" fillId="0" borderId="0" xfId="0" applyFont="1" applyBorder="1"/>
    <xf numFmtId="0" fontId="32" fillId="0" borderId="1" xfId="0" applyFont="1" applyBorder="1"/>
    <xf numFmtId="0" fontId="32" fillId="0" borderId="2" xfId="0" applyFont="1" applyBorder="1"/>
    <xf numFmtId="0" fontId="32" fillId="0" borderId="0" xfId="0" applyFont="1" applyAlignment="1">
      <alignment vertical="top"/>
    </xf>
    <xf numFmtId="0" fontId="32" fillId="0" borderId="3" xfId="0" applyFont="1" applyBorder="1" applyAlignment="1">
      <alignment vertical="top"/>
    </xf>
    <xf numFmtId="165" fontId="32" fillId="0" borderId="0" xfId="0" applyNumberFormat="1" applyFont="1" applyBorder="1"/>
    <xf numFmtId="165" fontId="32" fillId="0" borderId="0" xfId="0" applyNumberFormat="1" applyFont="1"/>
    <xf numFmtId="0" fontId="32" fillId="0" borderId="0" xfId="0" applyFont="1" applyBorder="1" applyAlignment="1">
      <alignment vertical="top"/>
    </xf>
    <xf numFmtId="0" fontId="32" fillId="0" borderId="4" xfId="0" applyFont="1" applyFill="1" applyBorder="1"/>
    <xf numFmtId="0" fontId="33" fillId="0" borderId="0" xfId="0" applyFont="1" applyBorder="1" applyAlignment="1">
      <alignment horizontal="left" vertical="top"/>
    </xf>
    <xf numFmtId="0" fontId="32" fillId="0" borderId="2" xfId="0" applyFont="1" applyBorder="1" applyAlignment="1">
      <alignment horizontal="left" vertical="top" wrapText="1"/>
    </xf>
    <xf numFmtId="0" fontId="32" fillId="0" borderId="3" xfId="0" applyFont="1" applyFill="1" applyBorder="1"/>
    <xf numFmtId="0" fontId="32" fillId="0" borderId="5" xfId="0" applyFont="1" applyBorder="1" applyAlignment="1">
      <alignment vertical="top"/>
    </xf>
    <xf numFmtId="165" fontId="32" fillId="0" borderId="2" xfId="0" applyNumberFormat="1" applyFont="1" applyBorder="1"/>
    <xf numFmtId="0" fontId="32" fillId="0" borderId="6" xfId="0" applyFont="1" applyBorder="1"/>
    <xf numFmtId="44" fontId="32" fillId="0" borderId="0" xfId="35" applyFont="1"/>
    <xf numFmtId="0" fontId="32" fillId="33" borderId="7" xfId="0" applyFont="1" applyFill="1" applyBorder="1"/>
    <xf numFmtId="0" fontId="34" fillId="0" borderId="7" xfId="0" applyFont="1" applyFill="1" applyBorder="1" applyAlignment="1">
      <alignment vertical="top"/>
    </xf>
    <xf numFmtId="0" fontId="34" fillId="0" borderId="8" xfId="0" applyFont="1" applyFill="1" applyBorder="1"/>
    <xf numFmtId="165" fontId="34" fillId="0" borderId="8" xfId="0" applyNumberFormat="1" applyFont="1" applyFill="1" applyBorder="1"/>
    <xf numFmtId="0" fontId="34" fillId="0" borderId="3" xfId="0" applyFont="1" applyFill="1" applyBorder="1" applyAlignment="1">
      <alignment vertical="top"/>
    </xf>
    <xf numFmtId="0" fontId="34" fillId="0" borderId="0" xfId="0" applyFont="1" applyFill="1" applyBorder="1"/>
    <xf numFmtId="165" fontId="34" fillId="0" borderId="0" xfId="0" applyNumberFormat="1" applyFont="1" applyFill="1" applyBorder="1"/>
    <xf numFmtId="0" fontId="34" fillId="0" borderId="1" xfId="0" applyFont="1" applyFill="1" applyBorder="1" applyAlignment="1">
      <alignment horizontal="right"/>
    </xf>
    <xf numFmtId="0" fontId="35" fillId="0" borderId="1" xfId="0" applyFont="1" applyFill="1" applyBorder="1" applyAlignment="1">
      <alignment horizontal="right"/>
    </xf>
    <xf numFmtId="0" fontId="36" fillId="0" borderId="9" xfId="0" applyFont="1" applyFill="1" applyBorder="1" applyAlignment="1">
      <alignment horizontal="center" vertical="top"/>
    </xf>
    <xf numFmtId="0" fontId="36" fillId="0" borderId="10" xfId="0" applyFont="1" applyFill="1" applyBorder="1" applyAlignment="1">
      <alignment horizontal="center"/>
    </xf>
    <xf numFmtId="165" fontId="36" fillId="0" borderId="11" xfId="0" applyNumberFormat="1" applyFont="1" applyFill="1" applyBorder="1" applyAlignment="1">
      <alignment horizontal="center"/>
    </xf>
    <xf numFmtId="0" fontId="36" fillId="0" borderId="4" xfId="0" applyFont="1" applyFill="1" applyBorder="1" applyAlignment="1">
      <alignment horizontal="center"/>
    </xf>
    <xf numFmtId="0" fontId="36" fillId="0" borderId="12" xfId="0" applyFont="1" applyFill="1" applyBorder="1" applyAlignment="1">
      <alignment horizontal="center" vertical="top"/>
    </xf>
    <xf numFmtId="0" fontId="36" fillId="0" borderId="13" xfId="0" applyFont="1" applyFill="1" applyBorder="1" applyAlignment="1">
      <alignment horizontal="left" vertical="top"/>
    </xf>
    <xf numFmtId="0" fontId="34" fillId="0" borderId="13" xfId="0" applyFont="1" applyFill="1" applyBorder="1" applyAlignment="1">
      <alignment horizontal="left"/>
    </xf>
    <xf numFmtId="165" fontId="34" fillId="0" borderId="13" xfId="0" applyNumberFormat="1" applyFont="1" applyFill="1" applyBorder="1" applyAlignment="1">
      <alignment horizontal="right"/>
    </xf>
    <xf numFmtId="0" fontId="34" fillId="0" borderId="14" xfId="0" applyFont="1" applyFill="1" applyBorder="1" applyAlignment="1">
      <alignment horizontal="right"/>
    </xf>
    <xf numFmtId="0" fontId="34" fillId="0" borderId="4" xfId="0" applyFont="1" applyFill="1" applyBorder="1" applyAlignment="1">
      <alignment horizontal="justify" vertical="top" wrapText="1"/>
    </xf>
    <xf numFmtId="0" fontId="34" fillId="0" borderId="4" xfId="0" applyFont="1" applyFill="1" applyBorder="1" applyAlignment="1">
      <alignment horizontal="right" vertical="top"/>
    </xf>
    <xf numFmtId="0" fontId="34" fillId="0" borderId="4" xfId="0" applyFont="1" applyFill="1" applyBorder="1" applyAlignment="1">
      <alignment horizontal="left" vertical="top"/>
    </xf>
    <xf numFmtId="44" fontId="34" fillId="0" borderId="4" xfId="35" applyFont="1" applyFill="1" applyBorder="1" applyAlignment="1">
      <alignment horizontal="right" vertical="top"/>
    </xf>
    <xf numFmtId="0" fontId="36" fillId="0" borderId="4" xfId="0" applyFont="1" applyFill="1" applyBorder="1" applyAlignment="1">
      <alignment horizontal="center" vertical="top"/>
    </xf>
    <xf numFmtId="0" fontId="36" fillId="0" borderId="4" xfId="0" applyFont="1" applyFill="1" applyBorder="1" applyAlignment="1">
      <alignment horizontal="left" vertical="top"/>
    </xf>
    <xf numFmtId="0" fontId="34" fillId="0" borderId="4" xfId="0" applyFont="1" applyFill="1" applyBorder="1" applyAlignment="1">
      <alignment horizontal="left"/>
    </xf>
    <xf numFmtId="0" fontId="34" fillId="0" borderId="4" xfId="0" applyFont="1" applyFill="1" applyBorder="1" applyAlignment="1">
      <alignment horizontal="right"/>
    </xf>
    <xf numFmtId="2" fontId="34" fillId="0" borderId="4" xfId="0" applyNumberFormat="1" applyFont="1" applyFill="1" applyBorder="1" applyAlignment="1">
      <alignment horizontal="right" vertical="top"/>
    </xf>
    <xf numFmtId="0" fontId="8" fillId="0" borderId="4" xfId="0" applyFont="1" applyFill="1" applyBorder="1" applyAlignment="1">
      <alignment horizontal="left" vertical="top" wrapText="1"/>
    </xf>
    <xf numFmtId="168" fontId="9" fillId="0" borderId="4" xfId="40" applyNumberFormat="1" applyFont="1" applyFill="1" applyBorder="1" applyAlignment="1">
      <alignment horizontal="center" vertical="center"/>
    </xf>
    <xf numFmtId="0" fontId="8" fillId="0" borderId="4" xfId="37" applyFont="1" applyFill="1" applyBorder="1" applyAlignment="1">
      <alignment horizontal="center" vertical="center"/>
    </xf>
    <xf numFmtId="169" fontId="10" fillId="0" borderId="4" xfId="32" applyNumberFormat="1" applyFont="1" applyFill="1" applyBorder="1" applyAlignment="1">
      <alignment vertical="center"/>
    </xf>
    <xf numFmtId="169" fontId="10" fillId="0" borderId="4" xfId="32" applyNumberFormat="1" applyFont="1" applyFill="1" applyBorder="1" applyAlignment="1"/>
    <xf numFmtId="165" fontId="34" fillId="0" borderId="4" xfId="0" applyNumberFormat="1" applyFont="1" applyFill="1" applyBorder="1" applyAlignment="1">
      <alignment horizontal="right" vertical="center"/>
    </xf>
    <xf numFmtId="0" fontId="34" fillId="0" borderId="4" xfId="0" applyFont="1" applyFill="1" applyBorder="1" applyAlignment="1">
      <alignment horizontal="center"/>
    </xf>
    <xf numFmtId="0" fontId="34" fillId="0" borderId="4" xfId="0" applyFont="1" applyFill="1" applyBorder="1" applyAlignment="1">
      <alignment horizontal="right" wrapText="1"/>
    </xf>
    <xf numFmtId="165" fontId="34" fillId="0" borderId="4" xfId="0" applyNumberFormat="1" applyFont="1" applyFill="1" applyBorder="1" applyAlignment="1">
      <alignment horizontal="right" vertical="top"/>
    </xf>
    <xf numFmtId="0" fontId="34" fillId="0" borderId="10" xfId="0" applyFont="1" applyBorder="1" applyAlignment="1">
      <alignment horizontal="left" vertical="top"/>
    </xf>
    <xf numFmtId="0" fontId="34" fillId="0" borderId="10" xfId="0" applyFont="1" applyBorder="1" applyAlignment="1">
      <alignment horizontal="left" vertical="top" wrapText="1"/>
    </xf>
    <xf numFmtId="166" fontId="34" fillId="0" borderId="4" xfId="0" applyNumberFormat="1" applyFont="1" applyFill="1" applyBorder="1" applyAlignment="1">
      <alignment horizontal="right" vertical="top"/>
    </xf>
    <xf numFmtId="44" fontId="34" fillId="0" borderId="4" xfId="35" applyNumberFormat="1" applyFont="1" applyFill="1" applyBorder="1" applyAlignment="1">
      <alignment horizontal="right" vertical="top"/>
    </xf>
    <xf numFmtId="0" fontId="34" fillId="0" borderId="13" xfId="0" applyFont="1" applyBorder="1" applyAlignment="1">
      <alignment horizontal="right" vertical="top"/>
    </xf>
    <xf numFmtId="0" fontId="34" fillId="0" borderId="13" xfId="0" applyFont="1" applyBorder="1" applyAlignment="1">
      <alignment horizontal="left" vertical="top"/>
    </xf>
    <xf numFmtId="0" fontId="34" fillId="0" borderId="4" xfId="0" applyFont="1" applyFill="1" applyBorder="1"/>
    <xf numFmtId="44" fontId="34" fillId="0" borderId="4" xfId="0" applyNumberFormat="1" applyFont="1" applyFill="1" applyBorder="1"/>
    <xf numFmtId="0" fontId="34" fillId="0" borderId="4" xfId="0" applyFont="1" applyFill="1" applyBorder="1" applyAlignment="1">
      <alignment vertical="top"/>
    </xf>
    <xf numFmtId="0" fontId="36" fillId="0" borderId="4" xfId="0" applyFont="1" applyFill="1" applyBorder="1" applyAlignment="1">
      <alignment horizontal="left" vertical="top" wrapText="1"/>
    </xf>
    <xf numFmtId="0" fontId="36" fillId="0" borderId="4" xfId="0" applyFont="1" applyFill="1" applyBorder="1" applyAlignment="1">
      <alignment vertical="top" wrapText="1"/>
    </xf>
    <xf numFmtId="44" fontId="36" fillId="0" borderId="4" xfId="35" applyNumberFormat="1" applyFont="1" applyFill="1" applyBorder="1" applyAlignment="1">
      <alignment horizontal="right" vertical="top"/>
    </xf>
    <xf numFmtId="0" fontId="34" fillId="0" borderId="4" xfId="0" applyFont="1" applyFill="1" applyBorder="1" applyAlignment="1">
      <alignment vertical="top" wrapText="1"/>
    </xf>
    <xf numFmtId="2" fontId="8" fillId="0" borderId="4" xfId="0" applyNumberFormat="1" applyFont="1" applyFill="1" applyBorder="1" applyAlignment="1">
      <alignment horizontal="right" vertical="top"/>
    </xf>
    <xf numFmtId="0" fontId="9" fillId="34" borderId="4" xfId="0" applyFont="1" applyFill="1" applyBorder="1" applyAlignment="1">
      <alignment horizontal="left" vertical="top" wrapText="1"/>
    </xf>
    <xf numFmtId="44" fontId="8" fillId="34" borderId="4" xfId="35" applyFont="1" applyFill="1" applyBorder="1" applyAlignment="1">
      <alignment horizontal="right" vertical="top"/>
    </xf>
    <xf numFmtId="0" fontId="8" fillId="34" borderId="4" xfId="0" applyFont="1" applyFill="1" applyBorder="1" applyAlignment="1">
      <alignment horizontal="left" vertical="top" wrapText="1"/>
    </xf>
    <xf numFmtId="0" fontId="34" fillId="0" borderId="4" xfId="0" applyFont="1" applyFill="1" applyBorder="1" applyAlignment="1">
      <alignment horizontal="left" vertical="top" wrapText="1"/>
    </xf>
    <xf numFmtId="44" fontId="8" fillId="0" borderId="4" xfId="35" applyFont="1" applyFill="1" applyBorder="1" applyAlignment="1">
      <alignment horizontal="right" vertical="top"/>
    </xf>
    <xf numFmtId="44" fontId="8" fillId="0" borderId="4" xfId="35" applyNumberFormat="1" applyFont="1" applyFill="1" applyBorder="1" applyAlignment="1">
      <alignment horizontal="right" vertical="top"/>
    </xf>
    <xf numFmtId="0" fontId="34" fillId="0" borderId="4" xfId="0" applyFont="1" applyBorder="1" applyAlignment="1">
      <alignment vertical="top"/>
    </xf>
    <xf numFmtId="0" fontId="36" fillId="0" borderId="4" xfId="0" applyFont="1" applyBorder="1" applyAlignment="1">
      <alignment vertical="top"/>
    </xf>
    <xf numFmtId="2" fontId="34" fillId="0" borderId="13" xfId="0" applyNumberFormat="1" applyFont="1" applyBorder="1" applyAlignment="1">
      <alignment horizontal="right" vertical="top"/>
    </xf>
    <xf numFmtId="0" fontId="34" fillId="0" borderId="4" xfId="0" applyFont="1" applyBorder="1" applyAlignment="1">
      <alignment horizontal="left" vertical="top" wrapText="1"/>
    </xf>
    <xf numFmtId="165" fontId="34" fillId="0" borderId="4" xfId="0" applyNumberFormat="1" applyFont="1" applyBorder="1" applyAlignment="1">
      <alignment vertical="top"/>
    </xf>
    <xf numFmtId="44" fontId="34" fillId="0" borderId="4" xfId="35" applyNumberFormat="1" applyFont="1" applyBorder="1" applyAlignment="1">
      <alignment horizontal="right" vertical="top"/>
    </xf>
    <xf numFmtId="0" fontId="34" fillId="0" borderId="4" xfId="0" applyFont="1" applyBorder="1" applyAlignment="1">
      <alignment horizontal="justify" vertical="top" wrapText="1"/>
    </xf>
    <xf numFmtId="0" fontId="36" fillId="0" borderId="4" xfId="0" applyFont="1" applyBorder="1" applyAlignment="1">
      <alignment horizontal="justify" vertical="top" wrapText="1"/>
    </xf>
    <xf numFmtId="0" fontId="34" fillId="0" borderId="4" xfId="0" applyFont="1" applyBorder="1"/>
    <xf numFmtId="0" fontId="34" fillId="0" borderId="15" xfId="0" applyFont="1" applyBorder="1"/>
    <xf numFmtId="0" fontId="36" fillId="0" borderId="13" xfId="0" applyFont="1" applyBorder="1" applyAlignment="1">
      <alignment horizontal="center" vertical="top"/>
    </xf>
    <xf numFmtId="0" fontId="34" fillId="0" borderId="13" xfId="0" applyFont="1" applyBorder="1" applyAlignment="1">
      <alignment horizontal="left"/>
    </xf>
    <xf numFmtId="0" fontId="34" fillId="0" borderId="13" xfId="0" applyFont="1" applyBorder="1" applyAlignment="1">
      <alignment horizontal="right"/>
    </xf>
    <xf numFmtId="0" fontId="34" fillId="0" borderId="13" xfId="0" applyFont="1" applyBorder="1" applyAlignment="1">
      <alignment horizontal="left" vertical="top" wrapText="1"/>
    </xf>
    <xf numFmtId="0" fontId="36" fillId="0" borderId="16" xfId="0" applyFont="1" applyBorder="1" applyAlignment="1">
      <alignment horizontal="center" vertical="top"/>
    </xf>
    <xf numFmtId="165" fontId="34" fillId="0" borderId="4" xfId="0" applyNumberFormat="1" applyFont="1" applyBorder="1"/>
    <xf numFmtId="0" fontId="36" fillId="0" borderId="10" xfId="0" applyFont="1" applyBorder="1" applyAlignment="1">
      <alignment horizontal="center" vertical="top"/>
    </xf>
    <xf numFmtId="0" fontId="36" fillId="0" borderId="10" xfId="0" applyFont="1" applyFill="1" applyBorder="1" applyAlignment="1">
      <alignment horizontal="left" vertical="top"/>
    </xf>
    <xf numFmtId="0" fontId="34" fillId="0" borderId="17" xfId="0" applyFont="1" applyFill="1" applyBorder="1" applyAlignment="1">
      <alignment horizontal="left"/>
    </xf>
    <xf numFmtId="0" fontId="34" fillId="0" borderId="17" xfId="0" applyFont="1" applyBorder="1"/>
    <xf numFmtId="0" fontId="34" fillId="0" borderId="5" xfId="0" applyFont="1" applyBorder="1"/>
    <xf numFmtId="168" fontId="34" fillId="0" borderId="13" xfId="0" applyNumberFormat="1" applyFont="1" applyBorder="1" applyAlignment="1">
      <alignment horizontal="right" vertical="top"/>
    </xf>
    <xf numFmtId="44" fontId="37" fillId="0" borderId="4" xfId="35" applyNumberFormat="1" applyFont="1" applyBorder="1" applyAlignment="1">
      <alignment horizontal="right" vertical="top"/>
    </xf>
    <xf numFmtId="0" fontId="36" fillId="0" borderId="13" xfId="0" applyFont="1" applyFill="1" applyBorder="1" applyAlignment="1">
      <alignment horizontal="left" vertical="top" wrapText="1"/>
    </xf>
    <xf numFmtId="44" fontId="34" fillId="0" borderId="13" xfId="0" applyNumberFormat="1" applyFont="1" applyBorder="1" applyAlignment="1">
      <alignment horizontal="right"/>
    </xf>
    <xf numFmtId="0" fontId="34" fillId="0" borderId="13" xfId="0" applyFont="1" applyFill="1" applyBorder="1" applyAlignment="1">
      <alignment horizontal="left" vertical="top"/>
    </xf>
    <xf numFmtId="0" fontId="13" fillId="0" borderId="4" xfId="0" applyNumberFormat="1" applyFont="1" applyFill="1" applyBorder="1" applyAlignment="1">
      <alignment horizontal="justify" vertical="center" wrapText="1"/>
    </xf>
    <xf numFmtId="0" fontId="9" fillId="0" borderId="4" xfId="0" applyFont="1" applyFill="1" applyBorder="1"/>
    <xf numFmtId="44" fontId="9" fillId="0" borderId="4" xfId="35" applyNumberFormat="1" applyFont="1" applyFill="1" applyBorder="1"/>
    <xf numFmtId="167" fontId="10" fillId="0" borderId="4" xfId="0" applyNumberFormat="1" applyFont="1" applyFill="1" applyBorder="1" applyAlignment="1" applyProtection="1">
      <alignment horizontal="center" vertical="center"/>
      <protection locked="0"/>
    </xf>
    <xf numFmtId="3" fontId="10" fillId="0" borderId="18" xfId="0" applyNumberFormat="1" applyFont="1" applyFill="1" applyBorder="1" applyAlignment="1" applyProtection="1">
      <alignment horizontal="center" vertical="center"/>
      <protection locked="0"/>
    </xf>
    <xf numFmtId="167" fontId="13" fillId="0" borderId="15" xfId="0" applyNumberFormat="1" applyFont="1" applyFill="1" applyBorder="1" applyAlignment="1" applyProtection="1">
      <alignment horizontal="center" vertical="center"/>
      <protection locked="0"/>
    </xf>
    <xf numFmtId="0" fontId="34" fillId="33" borderId="8" xfId="0" applyFont="1" applyFill="1" applyBorder="1" applyAlignment="1">
      <alignment horizontal="left" vertical="top"/>
    </xf>
    <xf numFmtId="0" fontId="34" fillId="33" borderId="8" xfId="0" applyFont="1" applyFill="1" applyBorder="1" applyAlignment="1">
      <alignment horizontal="right" vertical="top"/>
    </xf>
    <xf numFmtId="44" fontId="34" fillId="33" borderId="19" xfId="35" applyFont="1" applyFill="1" applyBorder="1" applyAlignment="1">
      <alignment horizontal="right" vertical="top"/>
    </xf>
    <xf numFmtId="167" fontId="13" fillId="0" borderId="7" xfId="0" applyNumberFormat="1" applyFont="1" applyFill="1" applyBorder="1" applyAlignment="1" applyProtection="1">
      <alignment horizontal="center" vertical="center"/>
      <protection locked="0"/>
    </xf>
    <xf numFmtId="10" fontId="10" fillId="0" borderId="18" xfId="45" applyNumberFormat="1" applyFont="1" applyFill="1" applyBorder="1" applyAlignment="1" applyProtection="1">
      <alignment horizontal="center" vertical="center"/>
      <protection locked="0"/>
    </xf>
    <xf numFmtId="0" fontId="38" fillId="0" borderId="20" xfId="0" applyFont="1" applyFill="1" applyBorder="1" applyAlignment="1">
      <alignment horizontal="right" vertical="top" wrapText="1"/>
    </xf>
    <xf numFmtId="0" fontId="39" fillId="0" borderId="21" xfId="0" applyFont="1" applyFill="1" applyBorder="1" applyAlignment="1">
      <alignment horizontal="left" vertical="top"/>
    </xf>
    <xf numFmtId="0" fontId="39" fillId="0" borderId="21" xfId="0" applyFont="1" applyFill="1" applyBorder="1" applyAlignment="1">
      <alignment horizontal="right" vertical="top"/>
    </xf>
    <xf numFmtId="165" fontId="39" fillId="0" borderId="21" xfId="35" applyNumberFormat="1" applyFont="1" applyFill="1" applyBorder="1" applyAlignment="1">
      <alignment horizontal="right" vertical="top"/>
    </xf>
    <xf numFmtId="0" fontId="38" fillId="33" borderId="8" xfId="0" applyFont="1" applyFill="1" applyBorder="1" applyAlignment="1">
      <alignment horizontal="center" vertical="top" wrapText="1"/>
    </xf>
    <xf numFmtId="0" fontId="38" fillId="0" borderId="0" xfId="0" applyFont="1" applyFill="1" applyBorder="1" applyAlignment="1">
      <alignment horizontal="right" vertical="top" wrapText="1"/>
    </xf>
    <xf numFmtId="0" fontId="39" fillId="0" borderId="0" xfId="0" applyFont="1" applyFill="1" applyBorder="1" applyAlignment="1">
      <alignment horizontal="left" vertical="top"/>
    </xf>
    <xf numFmtId="0" fontId="39" fillId="0" borderId="0" xfId="0" applyFont="1" applyFill="1" applyBorder="1" applyAlignment="1">
      <alignment horizontal="right" vertical="top"/>
    </xf>
    <xf numFmtId="165" fontId="39" fillId="0" borderId="0" xfId="35" applyNumberFormat="1" applyFont="1" applyFill="1" applyBorder="1" applyAlignment="1">
      <alignment horizontal="right" vertical="top"/>
    </xf>
    <xf numFmtId="44" fontId="38" fillId="0" borderId="0" xfId="35" applyFont="1" applyFill="1" applyBorder="1" applyAlignment="1">
      <alignment horizontal="right" vertical="top"/>
    </xf>
    <xf numFmtId="0" fontId="34" fillId="0" borderId="0" xfId="0" applyFont="1" applyFill="1" applyBorder="1" applyAlignment="1">
      <alignment horizontal="right" vertical="top"/>
    </xf>
    <xf numFmtId="166" fontId="13" fillId="0" borderId="22" xfId="35" applyNumberFormat="1" applyFont="1" applyFill="1" applyBorder="1" applyAlignment="1" applyProtection="1">
      <alignment vertical="center"/>
      <protection locked="0"/>
    </xf>
    <xf numFmtId="166" fontId="13" fillId="0" borderId="19" xfId="35" applyNumberFormat="1" applyFont="1" applyFill="1" applyBorder="1" applyAlignment="1" applyProtection="1">
      <alignment vertical="center"/>
      <protection locked="0"/>
    </xf>
    <xf numFmtId="166" fontId="36" fillId="33" borderId="23" xfId="35" applyNumberFormat="1" applyFont="1" applyFill="1" applyBorder="1" applyAlignment="1">
      <alignment horizontal="right" vertical="top"/>
    </xf>
    <xf numFmtId="44" fontId="34" fillId="0" borderId="0" xfId="35" applyFont="1"/>
    <xf numFmtId="15" fontId="34" fillId="0" borderId="19" xfId="0" applyNumberFormat="1" applyFont="1" applyFill="1" applyBorder="1"/>
    <xf numFmtId="0" fontId="9" fillId="0" borderId="4" xfId="0" applyFont="1" applyFill="1" applyBorder="1" applyAlignment="1">
      <alignment horizontal="center" vertical="top"/>
    </xf>
    <xf numFmtId="0" fontId="9" fillId="0" borderId="4" xfId="0" applyFont="1" applyFill="1" applyBorder="1" applyAlignment="1">
      <alignment horizontal="left" vertical="top" wrapText="1"/>
    </xf>
    <xf numFmtId="0" fontId="8" fillId="0" borderId="0" xfId="0" applyFont="1" applyBorder="1" applyAlignment="1">
      <alignment vertical="top"/>
    </xf>
    <xf numFmtId="0" fontId="8" fillId="0" borderId="4" xfId="0" applyFont="1" applyFill="1" applyBorder="1" applyAlignment="1">
      <alignment horizontal="right" vertical="top"/>
    </xf>
    <xf numFmtId="44" fontId="8" fillId="0" borderId="0" xfId="35" applyFont="1" applyFill="1" applyBorder="1" applyAlignment="1">
      <alignment horizontal="right" vertical="top"/>
    </xf>
    <xf numFmtId="44" fontId="8" fillId="0" borderId="0" xfId="35" applyNumberFormat="1" applyFont="1" applyBorder="1" applyAlignment="1">
      <alignment horizontal="right" vertical="top"/>
    </xf>
    <xf numFmtId="0" fontId="14" fillId="0" borderId="0" xfId="0" applyFont="1"/>
    <xf numFmtId="0" fontId="13" fillId="0" borderId="18" xfId="0" applyFont="1" applyFill="1" applyBorder="1" applyAlignment="1" applyProtection="1">
      <alignment vertical="center"/>
      <protection locked="0"/>
    </xf>
    <xf numFmtId="9" fontId="13" fillId="0" borderId="18" xfId="46" applyFont="1" applyFill="1" applyBorder="1" applyAlignment="1" applyProtection="1">
      <alignment horizontal="center" vertical="center"/>
      <protection locked="0"/>
    </xf>
    <xf numFmtId="167" fontId="10" fillId="0" borderId="18" xfId="0" applyNumberFormat="1" applyFont="1" applyFill="1" applyBorder="1" applyAlignment="1" applyProtection="1">
      <alignment horizontal="center" vertical="center"/>
      <protection locked="0"/>
    </xf>
    <xf numFmtId="166" fontId="10" fillId="0" borderId="18" xfId="35" applyNumberFormat="1" applyFont="1" applyFill="1" applyBorder="1" applyAlignment="1" applyProtection="1">
      <alignment vertical="center"/>
      <protection locked="0"/>
    </xf>
    <xf numFmtId="0" fontId="13" fillId="0" borderId="17" xfId="0" applyFont="1" applyFill="1" applyBorder="1" applyAlignment="1" applyProtection="1">
      <alignment vertical="center"/>
      <protection locked="0"/>
    </xf>
    <xf numFmtId="9" fontId="13" fillId="0" borderId="17" xfId="46" applyFont="1" applyFill="1" applyBorder="1" applyAlignment="1" applyProtection="1">
      <alignment horizontal="center" vertical="center"/>
      <protection locked="0"/>
    </xf>
    <xf numFmtId="167" fontId="10" fillId="0" borderId="17"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10" fillId="0" borderId="17" xfId="35" applyNumberFormat="1" applyFont="1" applyFill="1" applyBorder="1" applyAlignment="1" applyProtection="1">
      <alignment vertical="center"/>
      <protection locked="0"/>
    </xf>
    <xf numFmtId="0" fontId="13" fillId="0" borderId="25" xfId="0" applyFont="1" applyFill="1" applyBorder="1" applyAlignment="1" applyProtection="1">
      <alignment vertical="center"/>
      <protection locked="0"/>
    </xf>
    <xf numFmtId="9" fontId="13" fillId="0" borderId="26" xfId="46" applyFont="1" applyFill="1" applyBorder="1" applyAlignment="1" applyProtection="1">
      <alignment horizontal="center" vertical="center"/>
      <protection locked="0"/>
    </xf>
    <xf numFmtId="167" fontId="10" fillId="0" borderId="26" xfId="0" applyNumberFormat="1" applyFont="1" applyFill="1" applyBorder="1" applyAlignment="1" applyProtection="1">
      <alignment horizontal="center" vertical="center"/>
      <protection locked="0"/>
    </xf>
    <xf numFmtId="3" fontId="10" fillId="0" borderId="26" xfId="0" applyNumberFormat="1" applyFont="1" applyFill="1" applyBorder="1" applyAlignment="1" applyProtection="1">
      <alignment horizontal="center" vertical="center"/>
      <protection locked="0"/>
    </xf>
    <xf numFmtId="166" fontId="13" fillId="0" borderId="27" xfId="35" applyNumberFormat="1" applyFont="1" applyFill="1" applyBorder="1" applyAlignment="1" applyProtection="1">
      <alignment vertical="center"/>
      <protection locked="0"/>
    </xf>
    <xf numFmtId="0" fontId="40" fillId="0" borderId="0" xfId="0" applyFont="1"/>
    <xf numFmtId="44" fontId="32" fillId="0" borderId="0" xfId="0" applyNumberFormat="1" applyFont="1"/>
    <xf numFmtId="0" fontId="34" fillId="0" borderId="0" xfId="0" applyFont="1" applyBorder="1" applyAlignment="1">
      <alignment horizontal="left" vertical="top"/>
    </xf>
    <xf numFmtId="44" fontId="34" fillId="0" borderId="0" xfId="35" applyNumberFormat="1" applyFont="1" applyBorder="1" applyAlignment="1">
      <alignment horizontal="right" vertical="top"/>
    </xf>
    <xf numFmtId="44" fontId="34" fillId="33" borderId="0" xfId="35" applyFont="1" applyFill="1" applyBorder="1" applyAlignment="1">
      <alignment horizontal="right" vertical="top"/>
    </xf>
    <xf numFmtId="0" fontId="34" fillId="33" borderId="0" xfId="0" applyFont="1" applyFill="1" applyBorder="1" applyAlignment="1">
      <alignment horizontal="right" vertical="top"/>
    </xf>
    <xf numFmtId="165" fontId="34" fillId="33" borderId="0" xfId="0" applyNumberFormat="1" applyFont="1" applyFill="1" applyBorder="1" applyAlignment="1">
      <alignment horizontal="right" vertical="top"/>
    </xf>
    <xf numFmtId="166" fontId="34" fillId="33" borderId="0" xfId="0" applyNumberFormat="1" applyFont="1" applyFill="1" applyBorder="1" applyAlignment="1">
      <alignment horizontal="right" vertical="top"/>
    </xf>
    <xf numFmtId="44" fontId="34" fillId="33" borderId="0" xfId="35" applyNumberFormat="1" applyFont="1" applyFill="1" applyBorder="1" applyAlignment="1">
      <alignment horizontal="right" vertical="top"/>
    </xf>
    <xf numFmtId="44" fontId="8" fillId="33" borderId="0" xfId="35" applyNumberFormat="1" applyFont="1" applyFill="1" applyBorder="1" applyAlignment="1">
      <alignment horizontal="right" vertical="top"/>
    </xf>
    <xf numFmtId="44" fontId="34" fillId="33" borderId="0" xfId="35" applyNumberFormat="1" applyFont="1" applyFill="1" applyBorder="1" applyAlignment="1">
      <alignment horizontal="right" vertical="top" wrapText="1"/>
    </xf>
    <xf numFmtId="44" fontId="37" fillId="33" borderId="0" xfId="35" applyNumberFormat="1" applyFont="1" applyFill="1" applyBorder="1" applyAlignment="1">
      <alignment horizontal="right" vertical="top"/>
    </xf>
    <xf numFmtId="44" fontId="38" fillId="33" borderId="0" xfId="35" applyFont="1" applyFill="1" applyBorder="1" applyAlignment="1">
      <alignment horizontal="right" vertical="top"/>
    </xf>
    <xf numFmtId="44" fontId="34" fillId="0" borderId="15" xfId="35" applyNumberFormat="1" applyFont="1" applyBorder="1" applyAlignment="1">
      <alignment horizontal="right" vertical="top"/>
    </xf>
    <xf numFmtId="15" fontId="34" fillId="33" borderId="0" xfId="0" applyNumberFormat="1" applyFont="1" applyFill="1" applyBorder="1" applyAlignment="1">
      <alignment vertical="top"/>
    </xf>
    <xf numFmtId="0" fontId="35" fillId="33" borderId="0" xfId="0" applyFont="1" applyFill="1" applyBorder="1" applyAlignment="1">
      <alignment horizontal="right" vertical="top"/>
    </xf>
    <xf numFmtId="0" fontId="36" fillId="33" borderId="0" xfId="0" applyFont="1" applyFill="1" applyBorder="1" applyAlignment="1">
      <alignment horizontal="center" vertical="top"/>
    </xf>
    <xf numFmtId="0" fontId="36" fillId="33" borderId="0" xfId="0" applyFont="1" applyFill="1" applyBorder="1" applyAlignment="1">
      <alignment horizontal="center" vertical="top" wrapText="1"/>
    </xf>
    <xf numFmtId="0" fontId="34" fillId="33" borderId="0" xfId="0" applyFont="1" applyFill="1" applyBorder="1" applyAlignment="1">
      <alignment horizontal="center" vertical="top"/>
    </xf>
    <xf numFmtId="0" fontId="36" fillId="33" borderId="4" xfId="0" applyFont="1" applyFill="1" applyBorder="1" applyAlignment="1">
      <alignment horizontal="center" vertical="top"/>
    </xf>
    <xf numFmtId="44" fontId="34" fillId="33" borderId="0" xfId="0" applyNumberFormat="1" applyFont="1" applyFill="1" applyBorder="1" applyAlignment="1">
      <alignment horizontal="right" vertical="top"/>
    </xf>
    <xf numFmtId="44" fontId="34" fillId="33" borderId="0" xfId="0" applyNumberFormat="1" applyFont="1" applyFill="1" applyBorder="1" applyAlignment="1">
      <alignment vertical="top"/>
    </xf>
    <xf numFmtId="0" fontId="34" fillId="33" borderId="0" xfId="0" applyFont="1" applyFill="1" applyBorder="1" applyAlignment="1">
      <alignment vertical="top"/>
    </xf>
    <xf numFmtId="44" fontId="8" fillId="33" borderId="0" xfId="0" applyNumberFormat="1" applyFont="1" applyFill="1" applyBorder="1" applyAlignment="1">
      <alignment horizontal="right" vertical="top"/>
    </xf>
    <xf numFmtId="44" fontId="9" fillId="0" borderId="4" xfId="35" applyNumberFormat="1" applyFont="1" applyFill="1" applyBorder="1" applyAlignment="1">
      <alignment vertical="top"/>
    </xf>
    <xf numFmtId="166" fontId="10" fillId="0" borderId="18" xfId="35" applyNumberFormat="1" applyFont="1" applyFill="1" applyBorder="1" applyAlignment="1" applyProtection="1">
      <alignment vertical="top"/>
      <protection locked="0"/>
    </xf>
    <xf numFmtId="166" fontId="13" fillId="0" borderId="27" xfId="35" applyNumberFormat="1" applyFont="1" applyFill="1" applyBorder="1" applyAlignment="1" applyProtection="1">
      <alignment vertical="top"/>
      <protection locked="0"/>
    </xf>
    <xf numFmtId="166" fontId="10" fillId="0" borderId="17" xfId="35" applyNumberFormat="1" applyFont="1" applyFill="1" applyBorder="1" applyAlignment="1" applyProtection="1">
      <alignment vertical="top"/>
      <protection locked="0"/>
    </xf>
    <xf numFmtId="166" fontId="13" fillId="0" borderId="22" xfId="35" applyNumberFormat="1" applyFont="1" applyFill="1" applyBorder="1" applyAlignment="1" applyProtection="1">
      <alignment vertical="top"/>
      <protection locked="0"/>
    </xf>
    <xf numFmtId="44" fontId="9" fillId="33" borderId="0" xfId="35" applyNumberFormat="1" applyFont="1" applyFill="1" applyBorder="1" applyAlignment="1">
      <alignment vertical="top"/>
    </xf>
    <xf numFmtId="0" fontId="32" fillId="33" borderId="0" xfId="0" applyFont="1" applyFill="1" applyBorder="1" applyAlignment="1">
      <alignment horizontal="justify" vertical="top" wrapText="1"/>
    </xf>
    <xf numFmtId="0" fontId="32" fillId="33" borderId="0" xfId="0" applyFont="1" applyFill="1" applyBorder="1" applyAlignment="1">
      <alignment vertical="top"/>
    </xf>
    <xf numFmtId="44" fontId="32" fillId="33" borderId="0" xfId="35" applyFont="1" applyFill="1" applyAlignment="1">
      <alignment vertical="top"/>
    </xf>
    <xf numFmtId="44" fontId="34" fillId="33" borderId="0" xfId="35" applyFont="1" applyFill="1" applyAlignment="1">
      <alignment vertical="top"/>
    </xf>
    <xf numFmtId="0" fontId="32" fillId="33" borderId="0" xfId="0" applyFont="1" applyFill="1" applyAlignment="1">
      <alignment vertical="top"/>
    </xf>
    <xf numFmtId="44" fontId="42" fillId="0" borderId="0" xfId="0" applyNumberFormat="1" applyFont="1" applyAlignment="1">
      <alignment vertical="top"/>
    </xf>
    <xf numFmtId="0" fontId="34" fillId="0" borderId="0" xfId="0" applyFont="1" applyBorder="1" applyAlignment="1">
      <alignment horizontal="justify" vertical="top" wrapText="1"/>
    </xf>
    <xf numFmtId="0" fontId="34" fillId="0" borderId="0" xfId="0" applyFont="1" applyBorder="1" applyAlignment="1">
      <alignment vertical="top"/>
    </xf>
    <xf numFmtId="44" fontId="43" fillId="35" borderId="0" xfId="0" applyNumberFormat="1" applyFont="1" applyFill="1" applyAlignment="1">
      <alignment vertical="top"/>
    </xf>
    <xf numFmtId="0" fontId="41" fillId="0" borderId="0" xfId="0" applyFont="1" applyAlignment="1">
      <alignment vertical="top"/>
    </xf>
    <xf numFmtId="0" fontId="44" fillId="0" borderId="0" xfId="0" applyFont="1" applyAlignment="1">
      <alignment vertical="center"/>
    </xf>
    <xf numFmtId="44" fontId="42" fillId="0" borderId="0" xfId="35" applyFont="1" applyAlignment="1">
      <alignment vertical="top"/>
    </xf>
    <xf numFmtId="44" fontId="45" fillId="0" borderId="0" xfId="35" applyFont="1"/>
    <xf numFmtId="170" fontId="34" fillId="33" borderId="0" xfId="0" applyNumberFormat="1" applyFont="1" applyFill="1" applyBorder="1" applyAlignment="1">
      <alignment horizontal="right" vertical="top"/>
    </xf>
    <xf numFmtId="44" fontId="41" fillId="33" borderId="0" xfId="35" applyFont="1" applyFill="1" applyBorder="1" applyAlignment="1">
      <alignment horizontal="justify" vertical="top" wrapText="1"/>
    </xf>
    <xf numFmtId="44" fontId="34" fillId="35" borderId="4" xfId="35" applyFont="1" applyFill="1" applyBorder="1" applyAlignment="1">
      <alignment horizontal="right" vertical="top"/>
    </xf>
    <xf numFmtId="44" fontId="32" fillId="0" borderId="0" xfId="35" applyFont="1" applyAlignment="1">
      <alignment vertical="top"/>
    </xf>
    <xf numFmtId="44" fontId="32" fillId="0" borderId="0" xfId="0" applyNumberFormat="1" applyFont="1" applyAlignment="1">
      <alignment vertical="top"/>
    </xf>
    <xf numFmtId="171" fontId="34" fillId="35" borderId="4" xfId="0" applyNumberFormat="1" applyFont="1" applyFill="1" applyBorder="1" applyAlignment="1">
      <alignment horizontal="right" vertical="top"/>
    </xf>
    <xf numFmtId="170" fontId="34" fillId="35" borderId="0" xfId="0" applyNumberFormat="1" applyFont="1" applyFill="1" applyBorder="1" applyAlignment="1">
      <alignment horizontal="right" vertical="top"/>
    </xf>
    <xf numFmtId="44" fontId="32" fillId="0" borderId="37" xfId="35" applyFont="1" applyBorder="1"/>
    <xf numFmtId="44" fontId="46" fillId="0" borderId="37" xfId="35" applyFont="1" applyBorder="1"/>
    <xf numFmtId="165" fontId="34" fillId="33" borderId="37" xfId="0" applyNumberFormat="1" applyFont="1" applyFill="1" applyBorder="1" applyAlignment="1">
      <alignment horizontal="right" vertical="top"/>
    </xf>
    <xf numFmtId="0" fontId="34" fillId="35" borderId="4" xfId="0" applyFont="1" applyFill="1" applyBorder="1" applyAlignment="1">
      <alignment horizontal="right" vertical="top"/>
    </xf>
    <xf numFmtId="0" fontId="34" fillId="36" borderId="4" xfId="0" applyFont="1" applyFill="1" applyBorder="1" applyAlignment="1">
      <alignment horizontal="right" vertical="top"/>
    </xf>
    <xf numFmtId="44" fontId="34" fillId="37" borderId="4" xfId="35" applyNumberFormat="1" applyFont="1" applyFill="1" applyBorder="1" applyAlignment="1">
      <alignment horizontal="right" vertical="top"/>
    </xf>
    <xf numFmtId="165" fontId="47" fillId="0" borderId="0" xfId="0" applyNumberFormat="1" applyFont="1"/>
    <xf numFmtId="2" fontId="34" fillId="37" borderId="4" xfId="0" applyNumberFormat="1" applyFont="1" applyFill="1" applyBorder="1" applyAlignment="1">
      <alignment horizontal="right" vertical="top"/>
    </xf>
    <xf numFmtId="44" fontId="34" fillId="37" borderId="4" xfId="35" applyFont="1" applyFill="1" applyBorder="1" applyAlignment="1">
      <alignment horizontal="right" vertical="top"/>
    </xf>
    <xf numFmtId="44" fontId="8" fillId="37" borderId="4" xfId="35" applyFont="1" applyFill="1" applyBorder="1" applyAlignment="1">
      <alignment horizontal="right" vertical="top"/>
    </xf>
    <xf numFmtId="44" fontId="32" fillId="0" borderId="15" xfId="0" applyNumberFormat="1" applyFont="1" applyFill="1" applyBorder="1"/>
    <xf numFmtId="0" fontId="32" fillId="0" borderId="0" xfId="0" applyFont="1" applyFill="1"/>
    <xf numFmtId="0" fontId="32" fillId="0" borderId="0" xfId="0" applyFont="1" applyFill="1" applyBorder="1"/>
    <xf numFmtId="44" fontId="34" fillId="0" borderId="0" xfId="35" applyFont="1" applyFill="1" applyBorder="1" applyAlignment="1">
      <alignment horizontal="right" vertical="top"/>
    </xf>
    <xf numFmtId="0" fontId="34" fillId="0" borderId="0" xfId="0" applyFont="1" applyFill="1" applyBorder="1" applyAlignment="1">
      <alignment vertical="top"/>
    </xf>
    <xf numFmtId="2" fontId="34" fillId="0" borderId="0" xfId="0" applyNumberFormat="1" applyFont="1" applyBorder="1" applyAlignment="1">
      <alignment horizontal="right" vertical="top"/>
    </xf>
    <xf numFmtId="0" fontId="32" fillId="0" borderId="18" xfId="0" applyFont="1" applyFill="1" applyBorder="1"/>
    <xf numFmtId="0" fontId="32" fillId="0" borderId="15" xfId="0" applyFont="1" applyFill="1" applyBorder="1"/>
    <xf numFmtId="0" fontId="34" fillId="0" borderId="4" xfId="0" applyFont="1" applyFill="1" applyBorder="1" applyAlignment="1">
      <alignment horizontal="center" vertical="top"/>
    </xf>
    <xf numFmtId="0" fontId="34" fillId="0" borderId="13" xfId="0" applyFont="1" applyBorder="1" applyAlignment="1">
      <alignment horizontal="center" vertical="top"/>
    </xf>
    <xf numFmtId="0" fontId="34" fillId="0" borderId="0" xfId="0" applyFont="1" applyBorder="1" applyAlignment="1">
      <alignment horizontal="center" vertical="top"/>
    </xf>
    <xf numFmtId="0" fontId="34" fillId="0" borderId="4" xfId="0" applyFont="1" applyBorder="1" applyAlignment="1">
      <alignment horizontal="center" vertical="top"/>
    </xf>
    <xf numFmtId="0" fontId="34" fillId="0" borderId="0" xfId="0" applyFont="1" applyFill="1" applyBorder="1" applyAlignment="1">
      <alignment horizontal="center" vertical="top"/>
    </xf>
    <xf numFmtId="0" fontId="32" fillId="0" borderId="0" xfId="0" applyFont="1" applyAlignment="1">
      <alignment horizontal="center" vertical="top"/>
    </xf>
    <xf numFmtId="0" fontId="8" fillId="0" borderId="4" xfId="37" applyFont="1" applyFill="1" applyBorder="1" applyAlignment="1">
      <alignment horizontal="center" vertical="top"/>
    </xf>
    <xf numFmtId="9" fontId="13" fillId="0" borderId="18" xfId="46" applyFont="1" applyFill="1" applyBorder="1" applyAlignment="1" applyProtection="1">
      <alignment horizontal="center" vertical="top"/>
      <protection locked="0"/>
    </xf>
    <xf numFmtId="9" fontId="13" fillId="0" borderId="26" xfId="46" applyFont="1" applyFill="1" applyBorder="1" applyAlignment="1" applyProtection="1">
      <alignment horizontal="center" vertical="top"/>
      <protection locked="0"/>
    </xf>
    <xf numFmtId="9" fontId="13" fillId="0" borderId="17" xfId="46" applyFont="1" applyFill="1" applyBorder="1" applyAlignment="1" applyProtection="1">
      <alignment horizontal="center" vertical="top"/>
      <protection locked="0"/>
    </xf>
    <xf numFmtId="0" fontId="32" fillId="0" borderId="0" xfId="0" applyFont="1" applyBorder="1" applyAlignment="1">
      <alignment horizontal="center" vertical="top"/>
    </xf>
    <xf numFmtId="2" fontId="36" fillId="0" borderId="4" xfId="0" applyNumberFormat="1" applyFont="1" applyFill="1" applyBorder="1" applyAlignment="1">
      <alignment horizontal="center" vertical="top"/>
    </xf>
    <xf numFmtId="0" fontId="36" fillId="0" borderId="4" xfId="0" applyFont="1" applyFill="1" applyBorder="1" applyAlignment="1">
      <alignment horizontal="right" vertical="top"/>
    </xf>
    <xf numFmtId="0" fontId="13" fillId="0" borderId="0" xfId="0" applyFont="1" applyFill="1" applyBorder="1" applyAlignment="1" applyProtection="1">
      <alignment horizontal="left" vertical="center"/>
      <protection locked="0"/>
    </xf>
    <xf numFmtId="0" fontId="13" fillId="0" borderId="8" xfId="0" quotePrefix="1" applyFont="1" applyFill="1" applyBorder="1" applyAlignment="1" applyProtection="1">
      <alignment horizontal="left" vertical="center"/>
      <protection locked="0"/>
    </xf>
    <xf numFmtId="167" fontId="13" fillId="0" borderId="8" xfId="0" applyNumberFormat="1" applyFont="1" applyFill="1" applyBorder="1" applyAlignment="1" applyProtection="1">
      <alignment horizontal="center" vertical="center"/>
      <protection locked="0"/>
    </xf>
    <xf numFmtId="0" fontId="31" fillId="0" borderId="0" xfId="0" applyFont="1" applyBorder="1" applyAlignment="1">
      <alignment wrapText="1"/>
    </xf>
    <xf numFmtId="0" fontId="36" fillId="0" borderId="17" xfId="0" applyFont="1" applyFill="1" applyBorder="1" applyAlignment="1">
      <alignment horizontal="center" vertical="top"/>
    </xf>
    <xf numFmtId="0" fontId="36" fillId="0" borderId="17" xfId="0" applyFont="1" applyFill="1" applyBorder="1" applyAlignment="1">
      <alignment horizontal="left" vertical="top"/>
    </xf>
    <xf numFmtId="0" fontId="34" fillId="0" borderId="17" xfId="0" applyFont="1" applyFill="1" applyBorder="1" applyAlignment="1">
      <alignment horizontal="center" vertical="top"/>
    </xf>
    <xf numFmtId="0" fontId="31" fillId="0" borderId="0" xfId="0" applyFont="1" applyFill="1" applyBorder="1" applyAlignment="1">
      <alignment wrapText="1"/>
    </xf>
    <xf numFmtId="0" fontId="8" fillId="0" borderId="4" xfId="0" applyFont="1" applyFill="1" applyBorder="1" applyAlignment="1">
      <alignment horizontal="justify" vertical="top" wrapText="1"/>
    </xf>
    <xf numFmtId="0" fontId="33" fillId="0" borderId="0" xfId="0" applyFont="1" applyFill="1" applyBorder="1" applyAlignment="1">
      <alignment horizontal="left" vertical="top"/>
    </xf>
    <xf numFmtId="0" fontId="32" fillId="0" borderId="0" xfId="0" applyFont="1" applyFill="1" applyBorder="1" applyAlignment="1">
      <alignment vertical="top"/>
    </xf>
    <xf numFmtId="0" fontId="34" fillId="0" borderId="40" xfId="0" applyFont="1" applyFill="1" applyBorder="1" applyAlignment="1">
      <alignment vertical="top"/>
    </xf>
    <xf numFmtId="0" fontId="34" fillId="0" borderId="41" xfId="0" applyFont="1" applyFill="1" applyBorder="1" applyAlignment="1">
      <alignment vertical="top"/>
    </xf>
    <xf numFmtId="0" fontId="41" fillId="0" borderId="41" xfId="0" applyFont="1" applyFill="1" applyBorder="1" applyAlignment="1">
      <alignment horizontal="right"/>
    </xf>
    <xf numFmtId="165" fontId="34" fillId="0" borderId="41" xfId="0" applyNumberFormat="1" applyFont="1" applyFill="1" applyBorder="1"/>
    <xf numFmtId="15" fontId="8" fillId="0" borderId="42" xfId="0" applyNumberFormat="1" applyFont="1" applyFill="1" applyBorder="1"/>
    <xf numFmtId="0" fontId="34" fillId="0" borderId="43" xfId="0" applyFont="1" applyFill="1" applyBorder="1" applyAlignment="1">
      <alignment vertical="top"/>
    </xf>
    <xf numFmtId="0" fontId="8" fillId="0" borderId="44" xfId="0" applyFont="1" applyFill="1" applyBorder="1" applyAlignment="1">
      <alignment horizontal="right"/>
    </xf>
    <xf numFmtId="0" fontId="48" fillId="0" borderId="44" xfId="0" applyFont="1" applyFill="1" applyBorder="1" applyAlignment="1">
      <alignment horizontal="right"/>
    </xf>
    <xf numFmtId="0" fontId="36" fillId="0" borderId="43" xfId="0" applyFont="1" applyFill="1" applyBorder="1" applyAlignment="1">
      <alignment horizontal="center" vertical="center" wrapText="1"/>
    </xf>
    <xf numFmtId="0" fontId="31" fillId="0" borderId="44" xfId="0" applyFont="1" applyBorder="1" applyAlignment="1">
      <alignment wrapText="1"/>
    </xf>
    <xf numFmtId="0" fontId="36" fillId="0" borderId="49" xfId="0" applyFont="1" applyFill="1" applyBorder="1" applyAlignment="1">
      <alignment horizontal="center" vertical="top"/>
    </xf>
    <xf numFmtId="0" fontId="32" fillId="0" borderId="44" xfId="0" applyFont="1" applyBorder="1"/>
    <xf numFmtId="0" fontId="34" fillId="0" borderId="50" xfId="0" applyFont="1" applyFill="1" applyBorder="1" applyAlignment="1">
      <alignment horizontal="right" vertical="top"/>
    </xf>
    <xf numFmtId="44" fontId="8" fillId="0" borderId="51" xfId="0" applyNumberFormat="1" applyFont="1" applyFill="1" applyBorder="1" applyAlignment="1">
      <alignment horizontal="right" vertical="top"/>
    </xf>
    <xf numFmtId="0" fontId="36" fillId="0" borderId="50" xfId="0" applyFont="1" applyFill="1" applyBorder="1" applyAlignment="1">
      <alignment horizontal="center" vertical="top"/>
    </xf>
    <xf numFmtId="0" fontId="36" fillId="0" borderId="50" xfId="0" applyFont="1" applyFill="1" applyBorder="1" applyAlignment="1">
      <alignment horizontal="left" vertical="top"/>
    </xf>
    <xf numFmtId="2" fontId="34" fillId="0" borderId="50" xfId="0" applyNumberFormat="1" applyFont="1" applyFill="1" applyBorder="1" applyAlignment="1">
      <alignment horizontal="right" vertical="top"/>
    </xf>
    <xf numFmtId="0" fontId="9" fillId="0" borderId="50" xfId="0" applyFont="1" applyFill="1" applyBorder="1" applyAlignment="1">
      <alignment horizontal="center" vertical="top"/>
    </xf>
    <xf numFmtId="0" fontId="14" fillId="0" borderId="0" xfId="0" applyFont="1" applyBorder="1"/>
    <xf numFmtId="2" fontId="34" fillId="0" borderId="52" xfId="0" applyNumberFormat="1" applyFont="1" applyBorder="1" applyAlignment="1">
      <alignment horizontal="right" vertical="top"/>
    </xf>
    <xf numFmtId="0" fontId="36" fillId="0" borderId="52" xfId="0" applyFont="1" applyBorder="1" applyAlignment="1">
      <alignment horizontal="center" vertical="top"/>
    </xf>
    <xf numFmtId="0" fontId="34" fillId="0" borderId="52" xfId="0" applyFont="1" applyBorder="1" applyAlignment="1">
      <alignment horizontal="right" vertical="top"/>
    </xf>
    <xf numFmtId="0" fontId="32" fillId="0" borderId="50" xfId="0" applyFont="1" applyFill="1" applyBorder="1"/>
    <xf numFmtId="166" fontId="8" fillId="0" borderId="54" xfId="35" applyNumberFormat="1" applyFont="1" applyFill="1" applyBorder="1" applyAlignment="1" applyProtection="1">
      <alignment vertical="center"/>
      <protection locked="0"/>
    </xf>
    <xf numFmtId="166" fontId="9" fillId="0" borderId="55" xfId="35" applyNumberFormat="1" applyFont="1" applyFill="1" applyBorder="1" applyAlignment="1" applyProtection="1">
      <alignment vertical="center"/>
      <protection locked="0"/>
    </xf>
    <xf numFmtId="0" fontId="32" fillId="0" borderId="43" xfId="0" applyFont="1" applyFill="1" applyBorder="1"/>
    <xf numFmtId="166" fontId="49" fillId="0" borderId="44" xfId="35" applyNumberFormat="1" applyFont="1" applyFill="1" applyBorder="1" applyAlignment="1" applyProtection="1">
      <alignment vertical="center"/>
      <protection locked="0"/>
    </xf>
    <xf numFmtId="0" fontId="32" fillId="0" borderId="43" xfId="0" applyFont="1" applyBorder="1" applyAlignment="1">
      <alignment vertical="top"/>
    </xf>
    <xf numFmtId="166" fontId="32" fillId="0" borderId="44" xfId="0" applyNumberFormat="1" applyFont="1" applyBorder="1"/>
    <xf numFmtId="0" fontId="32" fillId="0" borderId="56" xfId="0" applyFont="1" applyBorder="1" applyAlignment="1">
      <alignment vertical="top"/>
    </xf>
    <xf numFmtId="0" fontId="32" fillId="0" borderId="57" xfId="0" applyFont="1" applyBorder="1" applyAlignment="1">
      <alignment vertical="top"/>
    </xf>
    <xf numFmtId="0" fontId="32" fillId="0" borderId="57" xfId="0" applyFont="1" applyFill="1" applyBorder="1" applyAlignment="1">
      <alignment horizontal="left" vertical="top" wrapText="1"/>
    </xf>
    <xf numFmtId="0" fontId="34" fillId="0" borderId="58" xfId="0" applyFont="1" applyFill="1" applyBorder="1" applyAlignment="1">
      <alignment horizontal="center" vertical="top"/>
    </xf>
    <xf numFmtId="0" fontId="32" fillId="0" borderId="57" xfId="0" applyFont="1" applyBorder="1"/>
    <xf numFmtId="0" fontId="32" fillId="0" borderId="59" xfId="0" applyFont="1" applyBorder="1"/>
    <xf numFmtId="0" fontId="34" fillId="0" borderId="17" xfId="0" applyFont="1" applyFill="1" applyBorder="1" applyAlignment="1">
      <alignment horizontal="right" vertical="top"/>
    </xf>
    <xf numFmtId="44" fontId="50" fillId="0" borderId="4" xfId="35" applyNumberFormat="1" applyFont="1" applyFill="1" applyBorder="1" applyAlignment="1">
      <alignment horizontal="right" vertical="top"/>
    </xf>
    <xf numFmtId="0" fontId="51" fillId="0" borderId="4" xfId="0" applyNumberFormat="1" applyFont="1" applyFill="1" applyBorder="1" applyAlignment="1">
      <alignment horizontal="justify" vertical="center" wrapText="1"/>
    </xf>
    <xf numFmtId="0" fontId="51" fillId="0" borderId="18" xfId="0" applyFont="1" applyFill="1" applyBorder="1" applyAlignment="1" applyProtection="1">
      <alignment vertical="center"/>
      <protection locked="0"/>
    </xf>
    <xf numFmtId="0" fontId="51" fillId="0" borderId="25" xfId="0" applyFont="1" applyFill="1" applyBorder="1" applyAlignment="1" applyProtection="1">
      <alignment vertical="center"/>
      <protection locked="0"/>
    </xf>
    <xf numFmtId="37" fontId="34" fillId="0" borderId="4" xfId="35" applyNumberFormat="1" applyFont="1" applyFill="1" applyBorder="1" applyAlignment="1">
      <alignment horizontal="right" vertical="top"/>
    </xf>
    <xf numFmtId="166" fontId="9" fillId="0" borderId="27" xfId="35" applyNumberFormat="1" applyFont="1" applyFill="1" applyBorder="1" applyAlignment="1" applyProtection="1">
      <alignment vertical="center"/>
      <protection locked="0"/>
    </xf>
    <xf numFmtId="166" fontId="9" fillId="0" borderId="51" xfId="0" applyNumberFormat="1" applyFont="1" applyFill="1" applyBorder="1" applyAlignment="1">
      <alignment horizontal="right" vertical="top"/>
    </xf>
    <xf numFmtId="166" fontId="8" fillId="0" borderId="53" xfId="35" applyNumberFormat="1" applyFont="1" applyFill="1" applyBorder="1" applyAlignment="1" applyProtection="1">
      <alignment vertical="center"/>
      <protection locked="0"/>
    </xf>
    <xf numFmtId="0" fontId="53" fillId="0" borderId="0" xfId="0" applyFont="1" applyFill="1"/>
    <xf numFmtId="0" fontId="36" fillId="0" borderId="47" xfId="0" applyFont="1" applyFill="1" applyBorder="1" applyAlignment="1">
      <alignment horizontal="center" vertical="center"/>
    </xf>
    <xf numFmtId="0" fontId="36"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48" xfId="0" applyFont="1" applyFill="1" applyBorder="1" applyAlignment="1">
      <alignment horizontal="center" vertical="center"/>
    </xf>
    <xf numFmtId="0" fontId="13" fillId="0" borderId="15" xfId="0" applyFont="1" applyFill="1" applyBorder="1" applyAlignment="1" applyProtection="1">
      <alignment horizontal="left" vertical="center"/>
      <protection locked="0"/>
    </xf>
    <xf numFmtId="0" fontId="13" fillId="0" borderId="22" xfId="0" quotePrefix="1" applyFont="1" applyFill="1" applyBorder="1" applyAlignment="1" applyProtection="1">
      <alignment horizontal="left" vertical="center"/>
      <protection locked="0"/>
    </xf>
    <xf numFmtId="0" fontId="13" fillId="0" borderId="7" xfId="0" applyFont="1" applyFill="1" applyBorder="1" applyAlignment="1" applyProtection="1">
      <alignment horizontal="left" vertical="center"/>
      <protection locked="0"/>
    </xf>
    <xf numFmtId="0" fontId="13" fillId="0" borderId="19" xfId="0" quotePrefix="1" applyFont="1" applyFill="1" applyBorder="1" applyAlignment="1" applyProtection="1">
      <alignment horizontal="left" vertical="center"/>
      <protection locked="0"/>
    </xf>
    <xf numFmtId="0" fontId="32" fillId="0" borderId="0" xfId="0" applyFont="1" applyBorder="1" applyAlignment="1">
      <alignment horizontal="justify" vertical="center" wrapText="1"/>
    </xf>
    <xf numFmtId="0" fontId="32" fillId="0" borderId="1" xfId="0" applyFont="1" applyBorder="1" applyAlignment="1">
      <alignment horizontal="justify" vertical="center" wrapText="1"/>
    </xf>
    <xf numFmtId="0" fontId="36" fillId="0" borderId="7" xfId="0" applyFont="1" applyFill="1" applyBorder="1" applyAlignment="1">
      <alignment horizontal="center"/>
    </xf>
    <xf numFmtId="0" fontId="36" fillId="0" borderId="8" xfId="0" applyFont="1" applyFill="1" applyBorder="1" applyAlignment="1">
      <alignment horizontal="center"/>
    </xf>
    <xf numFmtId="0" fontId="36" fillId="0" borderId="19" xfId="0" applyFont="1" applyFill="1" applyBorder="1" applyAlignment="1">
      <alignment horizontal="center"/>
    </xf>
    <xf numFmtId="0" fontId="36" fillId="0" borderId="3" xfId="0" applyFont="1" applyFill="1" applyBorder="1" applyAlignment="1">
      <alignment horizontal="center" vertical="justify" wrapText="1"/>
    </xf>
    <xf numFmtId="0" fontId="36" fillId="0" borderId="0" xfId="0" applyFont="1" applyFill="1" applyBorder="1" applyAlignment="1">
      <alignment horizontal="center" vertical="justify" wrapText="1"/>
    </xf>
    <xf numFmtId="0" fontId="36" fillId="0" borderId="1" xfId="0" applyFont="1" applyFill="1" applyBorder="1" applyAlignment="1">
      <alignment horizontal="center" vertical="justify" wrapText="1"/>
    </xf>
    <xf numFmtId="0" fontId="34" fillId="0" borderId="5" xfId="0" applyFont="1" applyFill="1" applyBorder="1" applyAlignment="1">
      <alignment horizontal="center"/>
    </xf>
    <xf numFmtId="0" fontId="34" fillId="0" borderId="2" xfId="0" applyFont="1" applyFill="1" applyBorder="1" applyAlignment="1">
      <alignment horizontal="center"/>
    </xf>
    <xf numFmtId="0" fontId="34" fillId="0" borderId="6" xfId="0" applyFont="1" applyFill="1" applyBorder="1" applyAlignment="1">
      <alignment horizontal="center"/>
    </xf>
    <xf numFmtId="0" fontId="34" fillId="0" borderId="18" xfId="0" applyFont="1" applyBorder="1" applyAlignment="1">
      <alignment horizontal="right" vertical="top"/>
    </xf>
    <xf numFmtId="0" fontId="34" fillId="0" borderId="24" xfId="0" applyFont="1" applyBorder="1" applyAlignment="1">
      <alignment horizontal="right" vertical="top"/>
    </xf>
    <xf numFmtId="0" fontId="36" fillId="34" borderId="18" xfId="0" applyFont="1" applyFill="1" applyBorder="1" applyAlignment="1">
      <alignment horizontal="justify" vertical="top" wrapText="1"/>
    </xf>
    <xf numFmtId="0" fontId="36" fillId="34" borderId="24" xfId="0" applyFont="1" applyFill="1" applyBorder="1" applyAlignment="1">
      <alignment horizontal="justify" vertical="top" wrapText="1"/>
    </xf>
    <xf numFmtId="0" fontId="34" fillId="0" borderId="18" xfId="0" applyFont="1" applyBorder="1" applyAlignment="1">
      <alignment vertical="top"/>
    </xf>
    <xf numFmtId="0" fontId="34" fillId="0" borderId="24" xfId="0" applyFont="1" applyBorder="1" applyAlignment="1">
      <alignment vertical="top"/>
    </xf>
    <xf numFmtId="0" fontId="34" fillId="0" borderId="18" xfId="0" applyFont="1" applyFill="1" applyBorder="1" applyAlignment="1">
      <alignment horizontal="right" vertical="top"/>
    </xf>
    <xf numFmtId="0" fontId="34" fillId="0" borderId="24" xfId="0" applyFont="1" applyFill="1" applyBorder="1" applyAlignment="1">
      <alignment horizontal="right" vertical="top"/>
    </xf>
    <xf numFmtId="0" fontId="34" fillId="0" borderId="17" xfId="0" applyFont="1" applyFill="1" applyBorder="1" applyAlignment="1">
      <alignment horizontal="right" vertical="top"/>
    </xf>
    <xf numFmtId="165" fontId="34" fillId="0" borderId="18" xfId="0" applyNumberFormat="1" applyFont="1" applyBorder="1" applyAlignment="1">
      <alignment vertical="top" wrapText="1"/>
    </xf>
    <xf numFmtId="165" fontId="34" fillId="0" borderId="24" xfId="0" applyNumberFormat="1" applyFont="1" applyBorder="1" applyAlignment="1">
      <alignment vertical="top" wrapText="1"/>
    </xf>
    <xf numFmtId="44" fontId="34" fillId="0" borderId="18" xfId="35" applyNumberFormat="1" applyFont="1" applyBorder="1" applyAlignment="1">
      <alignment horizontal="right" vertical="top" wrapText="1"/>
    </xf>
    <xf numFmtId="44" fontId="34" fillId="0" borderId="24" xfId="35" applyNumberFormat="1" applyFont="1" applyBorder="1" applyAlignment="1">
      <alignment horizontal="right" vertical="top" wrapText="1"/>
    </xf>
    <xf numFmtId="0" fontId="1" fillId="0" borderId="7"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0"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6" xfId="0" applyFont="1" applyBorder="1" applyAlignment="1">
      <alignment horizontal="justify" vertical="center" wrapText="1"/>
    </xf>
    <xf numFmtId="0" fontId="52" fillId="0" borderId="0" xfId="56" applyFont="1" applyBorder="1" applyAlignment="1">
      <alignment horizontal="center"/>
    </xf>
    <xf numFmtId="0" fontId="38" fillId="0" borderId="43"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44" xfId="0" applyFont="1" applyFill="1" applyBorder="1" applyAlignment="1">
      <alignment horizontal="center" vertical="center"/>
    </xf>
    <xf numFmtId="0" fontId="36" fillId="0" borderId="45" xfId="0" applyFont="1" applyFill="1" applyBorder="1" applyAlignment="1">
      <alignment horizontal="center" vertical="center" wrapText="1"/>
    </xf>
    <xf numFmtId="0" fontId="31" fillId="0" borderId="2" xfId="0" applyFont="1" applyBorder="1" applyAlignment="1">
      <alignment wrapText="1"/>
    </xf>
    <xf numFmtId="0" fontId="31" fillId="0" borderId="46" xfId="0" applyFont="1" applyBorder="1" applyAlignment="1">
      <alignment wrapText="1"/>
    </xf>
  </cellXfs>
  <cellStyles count="5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Millares" xfId="32" builtinId="3"/>
    <cellStyle name="Millares 2" xfId="33"/>
    <cellStyle name="Millares 2 2" xfId="34"/>
    <cellStyle name="Moneda" xfId="35" builtinId="4"/>
    <cellStyle name="Neutral" xfId="36" builtinId="28" customBuiltin="1"/>
    <cellStyle name="Normal" xfId="0" builtinId="0"/>
    <cellStyle name="Normal 12" xfId="37"/>
    <cellStyle name="Normal 13" xfId="38"/>
    <cellStyle name="Normal 13 2" xfId="55"/>
    <cellStyle name="Normal 22" xfId="39"/>
    <cellStyle name="Normal 3" xfId="40"/>
    <cellStyle name="Normal 3 2" xfId="41"/>
    <cellStyle name="Normal 5" xfId="42"/>
    <cellStyle name="Normal 6" xfId="43"/>
    <cellStyle name="Normal_area comercial PROFINAS 2002 SEPTIEMBRE.xls" xfId="56"/>
    <cellStyle name="Notas" xfId="44" builtinId="10" customBuiltin="1"/>
    <cellStyle name="Porcentual" xfId="45" builtinId="5"/>
    <cellStyle name="Porcentual 2 2" xfId="46"/>
    <cellStyle name="Salida" xfId="47" builtinId="21" customBuiltin="1"/>
    <cellStyle name="Texto de advertencia" xfId="48" builtinId="11" customBuiltin="1"/>
    <cellStyle name="Texto explicativo" xfId="49" builtinId="53" customBuiltin="1"/>
    <cellStyle name="Título" xfId="50" builtinId="15" customBuiltin="1"/>
    <cellStyle name="Título 1" xfId="51" builtinId="16" customBuiltin="1"/>
    <cellStyle name="Título 2" xfId="52" builtinId="17" customBuiltin="1"/>
    <cellStyle name="Título 3" xfId="53" builtinId="18" customBuiltin="1"/>
    <cellStyle name="Total" xfId="54" builtinId="25" customBuiltin="1"/>
  </cellStyles>
  <dxfs count="0"/>
  <tableStyles count="0" defaultTableStyle="TableStyleMedium9" defaultPivotStyle="PivotStyleLight16"/>
  <colors>
    <mruColors>
      <color rgb="FF00642D"/>
      <color rgb="FF004821"/>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22860</xdr:colOff>
      <xdr:row>0</xdr:row>
      <xdr:rowOff>38100</xdr:rowOff>
    </xdr:from>
    <xdr:to>
      <xdr:col>2</xdr:col>
      <xdr:colOff>609600</xdr:colOff>
      <xdr:row>4</xdr:row>
      <xdr:rowOff>83820</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1575435" y="38100"/>
          <a:ext cx="586740" cy="807720"/>
        </a:xfrm>
        <a:prstGeom prst="rect">
          <a:avLst/>
        </a:prstGeom>
        <a:noFill/>
        <a:ln w="9525">
          <a:noFill/>
          <a:miter lim="800000"/>
          <a:headEnd/>
          <a:tailEnd/>
        </a:ln>
      </xdr:spPr>
    </xdr:pic>
    <xdr:clientData/>
  </xdr:twoCellAnchor>
  <xdr:twoCellAnchor>
    <xdr:from>
      <xdr:col>2</xdr:col>
      <xdr:colOff>9525</xdr:colOff>
      <xdr:row>217</xdr:row>
      <xdr:rowOff>0</xdr:rowOff>
    </xdr:from>
    <xdr:to>
      <xdr:col>2</xdr:col>
      <xdr:colOff>2173432</xdr:colOff>
      <xdr:row>217</xdr:row>
      <xdr:rowOff>2</xdr:rowOff>
    </xdr:to>
    <xdr:cxnSp macro="">
      <xdr:nvCxnSpPr>
        <xdr:cNvPr id="3" name="2 Conector recto"/>
        <xdr:cNvCxnSpPr/>
      </xdr:nvCxnSpPr>
      <xdr:spPr>
        <a:xfrm flipV="1">
          <a:off x="1562100" y="103193850"/>
          <a:ext cx="2163907" cy="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530860</xdr:colOff>
      <xdr:row>0</xdr:row>
      <xdr:rowOff>0</xdr:rowOff>
    </xdr:from>
    <xdr:to>
      <xdr:col>1</xdr:col>
      <xdr:colOff>600075</xdr:colOff>
      <xdr:row>4</xdr:row>
      <xdr:rowOff>45720</xdr:rowOff>
    </xdr:to>
    <xdr:pic>
      <xdr:nvPicPr>
        <xdr:cNvPr id="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530860" y="0"/>
          <a:ext cx="859790" cy="1017270"/>
        </a:xfrm>
        <a:prstGeom prst="rect">
          <a:avLst/>
        </a:prstGeom>
        <a:noFill/>
        <a:ln w="9525">
          <a:noFill/>
          <a:miter lim="800000"/>
          <a:headEnd/>
          <a:tailEnd/>
        </a:ln>
      </xdr:spPr>
    </xdr:pic>
    <xdr:clientData/>
  </xdr:twoCellAnchor>
  <xdr:twoCellAnchor>
    <xdr:from>
      <xdr:col>2</xdr:col>
      <xdr:colOff>9525</xdr:colOff>
      <xdr:row>72</xdr:row>
      <xdr:rowOff>0</xdr:rowOff>
    </xdr:from>
    <xdr:to>
      <xdr:col>2</xdr:col>
      <xdr:colOff>2173432</xdr:colOff>
      <xdr:row>72</xdr:row>
      <xdr:rowOff>2</xdr:rowOff>
    </xdr:to>
    <xdr:cxnSp macro="">
      <xdr:nvCxnSpPr>
        <xdr:cNvPr id="3" name="2 Conector recto"/>
        <xdr:cNvCxnSpPr/>
      </xdr:nvCxnSpPr>
      <xdr:spPr>
        <a:xfrm flipV="1">
          <a:off x="2425065" y="48295560"/>
          <a:ext cx="2163907" cy="2"/>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theme="3" tint="0.39997558519241921"/>
  </sheetPr>
  <dimension ref="B1:N223"/>
  <sheetViews>
    <sheetView topLeftCell="A196" zoomScale="70" zoomScaleNormal="70" zoomScaleSheetLayoutView="90" workbookViewId="0">
      <selection activeCell="M17" sqref="M17"/>
    </sheetView>
  </sheetViews>
  <sheetFormatPr baseColWidth="10" defaultColWidth="11.42578125" defaultRowHeight="11.25"/>
  <cols>
    <col min="1" max="1" width="11.42578125" style="1"/>
    <col min="2" max="2" width="11.85546875" style="5" customWidth="1"/>
    <col min="3" max="3" width="86.28515625" style="1" customWidth="1"/>
    <col min="4" max="4" width="10.28515625" style="1" bestFit="1" customWidth="1"/>
    <col min="5" max="5" width="12.28515625" style="1" bestFit="1" customWidth="1"/>
    <col min="6" max="6" width="19.28515625" style="8" bestFit="1" customWidth="1"/>
    <col min="7" max="7" width="30.7109375" style="1" customWidth="1"/>
    <col min="8" max="8" width="30.7109375" style="182" customWidth="1"/>
    <col min="9" max="9" width="24.5703125" style="1" bestFit="1" customWidth="1"/>
    <col min="10" max="10" width="17.28515625" style="1" bestFit="1" customWidth="1"/>
    <col min="11" max="11" width="14.85546875" style="1" bestFit="1" customWidth="1"/>
    <col min="12" max="12" width="15.5703125" style="1" bestFit="1" customWidth="1"/>
    <col min="13" max="16384" width="11.42578125" style="1"/>
  </cols>
  <sheetData>
    <row r="1" spans="2:8" ht="15">
      <c r="B1" s="19" t="s">
        <v>197</v>
      </c>
      <c r="C1" s="20"/>
      <c r="D1" s="20"/>
      <c r="E1" s="20"/>
      <c r="F1" s="21" t="s">
        <v>198</v>
      </c>
      <c r="G1" s="126">
        <v>41675</v>
      </c>
      <c r="H1" s="162"/>
    </row>
    <row r="2" spans="2:8" ht="15">
      <c r="B2" s="22"/>
      <c r="C2" s="23"/>
      <c r="D2" s="23"/>
      <c r="E2" s="23"/>
      <c r="F2" s="24"/>
      <c r="G2" s="25" t="s">
        <v>188</v>
      </c>
      <c r="H2" s="153"/>
    </row>
    <row r="3" spans="2:8" ht="15">
      <c r="B3" s="22"/>
      <c r="C3" s="23"/>
      <c r="D3" s="23"/>
      <c r="E3" s="23"/>
      <c r="F3" s="24"/>
      <c r="G3" s="26" t="s">
        <v>10</v>
      </c>
      <c r="H3" s="163"/>
    </row>
    <row r="4" spans="2:8" ht="15">
      <c r="B4" s="22"/>
      <c r="C4" s="23"/>
      <c r="D4" s="23"/>
      <c r="E4" s="23"/>
      <c r="F4" s="24"/>
      <c r="G4" s="26" t="s">
        <v>182</v>
      </c>
      <c r="H4" s="163"/>
    </row>
    <row r="5" spans="2:8" ht="15">
      <c r="B5" s="22"/>
      <c r="C5" s="23"/>
      <c r="D5" s="23"/>
      <c r="E5" s="23"/>
      <c r="F5" s="24"/>
      <c r="G5" s="26" t="s">
        <v>177</v>
      </c>
      <c r="H5" s="163"/>
    </row>
    <row r="6" spans="2:8" ht="15" customHeight="1">
      <c r="B6" s="295" t="s">
        <v>11</v>
      </c>
      <c r="C6" s="296"/>
      <c r="D6" s="296"/>
      <c r="E6" s="296"/>
      <c r="F6" s="296"/>
      <c r="G6" s="297"/>
      <c r="H6" s="164"/>
    </row>
    <row r="7" spans="2:8" ht="30" customHeight="1">
      <c r="B7" s="298" t="s">
        <v>189</v>
      </c>
      <c r="C7" s="299"/>
      <c r="D7" s="299"/>
      <c r="E7" s="299"/>
      <c r="F7" s="299"/>
      <c r="G7" s="300"/>
      <c r="H7" s="165"/>
    </row>
    <row r="8" spans="2:8" ht="15">
      <c r="B8" s="301" t="s">
        <v>178</v>
      </c>
      <c r="C8" s="302"/>
      <c r="D8" s="302"/>
      <c r="E8" s="302"/>
      <c r="F8" s="302"/>
      <c r="G8" s="303"/>
      <c r="H8" s="166"/>
    </row>
    <row r="9" spans="2:8" ht="15.75">
      <c r="B9" s="27" t="s">
        <v>0</v>
      </c>
      <c r="C9" s="28" t="s">
        <v>1</v>
      </c>
      <c r="D9" s="28" t="s">
        <v>2</v>
      </c>
      <c r="E9" s="28" t="s">
        <v>3</v>
      </c>
      <c r="F9" s="29" t="s">
        <v>4</v>
      </c>
      <c r="G9" s="30" t="s">
        <v>85</v>
      </c>
      <c r="H9" s="167" t="s">
        <v>215</v>
      </c>
    </row>
    <row r="10" spans="2:8" ht="15.75">
      <c r="B10" s="31">
        <v>1</v>
      </c>
      <c r="C10" s="32" t="s">
        <v>5</v>
      </c>
      <c r="D10" s="33"/>
      <c r="E10" s="37"/>
      <c r="F10" s="34"/>
      <c r="G10" s="35"/>
      <c r="H10" s="168">
        <f>SUM(G11:G13)</f>
        <v>249859.66</v>
      </c>
    </row>
    <row r="11" spans="2:8" ht="15">
      <c r="B11" s="37">
        <f>SUM(B10+0.01)</f>
        <v>1.01</v>
      </c>
      <c r="C11" s="36" t="s">
        <v>23</v>
      </c>
      <c r="D11" s="38" t="s">
        <v>6</v>
      </c>
      <c r="E11" s="37">
        <v>20</v>
      </c>
      <c r="F11" s="39">
        <v>2137</v>
      </c>
      <c r="G11" s="39">
        <f>SUM(E11*F11)</f>
        <v>42740</v>
      </c>
      <c r="H11" s="152"/>
    </row>
    <row r="12" spans="2:8" ht="15">
      <c r="B12" s="37">
        <f>SUM(B11+0.01)</f>
        <v>1.02</v>
      </c>
      <c r="C12" s="36" t="s">
        <v>24</v>
      </c>
      <c r="D12" s="38" t="s">
        <v>8</v>
      </c>
      <c r="E12" s="37">
        <v>4.18</v>
      </c>
      <c r="F12" s="39">
        <v>10687</v>
      </c>
      <c r="G12" s="39">
        <f>SUM(E12*F12)</f>
        <v>44671.659999999996</v>
      </c>
      <c r="H12" s="152"/>
    </row>
    <row r="13" spans="2:8" ht="15">
      <c r="B13" s="37">
        <f>SUM(B12+0.01)</f>
        <v>1.03</v>
      </c>
      <c r="C13" s="36" t="s">
        <v>25</v>
      </c>
      <c r="D13" s="38" t="s">
        <v>8</v>
      </c>
      <c r="E13" s="37">
        <v>4</v>
      </c>
      <c r="F13" s="39">
        <v>40612</v>
      </c>
      <c r="G13" s="39">
        <f>SUM(E13*F13)</f>
        <v>162448</v>
      </c>
      <c r="H13" s="152"/>
    </row>
    <row r="14" spans="2:8" ht="15.75">
      <c r="B14" s="40">
        <f>SUM(B10+1)</f>
        <v>2</v>
      </c>
      <c r="C14" s="41" t="s">
        <v>12</v>
      </c>
      <c r="D14" s="42"/>
      <c r="E14" s="37"/>
      <c r="F14" s="39"/>
      <c r="G14" s="43"/>
      <c r="H14" s="168">
        <f>SUM(G15:G17)</f>
        <v>849727.13800000004</v>
      </c>
    </row>
    <row r="15" spans="2:8" ht="15">
      <c r="B15" s="37">
        <f>SUM(B14+0.01)</f>
        <v>2.0099999999999998</v>
      </c>
      <c r="C15" s="36" t="s">
        <v>15</v>
      </c>
      <c r="D15" s="38" t="s">
        <v>8</v>
      </c>
      <c r="E15" s="37">
        <f>SUM(0.3*0.45*0.6)*10</f>
        <v>0.81</v>
      </c>
      <c r="F15" s="39">
        <v>301500</v>
      </c>
      <c r="G15" s="39">
        <f>SUM(E15*F15)</f>
        <v>244215.00000000003</v>
      </c>
      <c r="H15" s="152"/>
    </row>
    <row r="16" spans="2:8" ht="15">
      <c r="B16" s="37">
        <f>SUM(B15+0.01)</f>
        <v>2.0199999999999996</v>
      </c>
      <c r="C16" s="36" t="s">
        <v>81</v>
      </c>
      <c r="D16" s="38" t="s">
        <v>8</v>
      </c>
      <c r="E16" s="37">
        <f>SUM(0.3*0.45*0.44)*10</f>
        <v>0.59399999999999997</v>
      </c>
      <c r="F16" s="39">
        <v>425677</v>
      </c>
      <c r="G16" s="39">
        <f>SUM(E16*F16)</f>
        <v>252852.13799999998</v>
      </c>
      <c r="H16" s="152"/>
    </row>
    <row r="17" spans="2:11" ht="15">
      <c r="B17" s="37">
        <f>SUM(B16+0.01)</f>
        <v>2.0299999999999994</v>
      </c>
      <c r="C17" s="36" t="s">
        <v>26</v>
      </c>
      <c r="D17" s="38" t="s">
        <v>9</v>
      </c>
      <c r="E17" s="37">
        <v>110</v>
      </c>
      <c r="F17" s="39">
        <v>3206</v>
      </c>
      <c r="G17" s="39">
        <f>SUM(E17*F17)</f>
        <v>352660</v>
      </c>
      <c r="H17" s="152"/>
    </row>
    <row r="18" spans="2:11" ht="15.75">
      <c r="B18" s="40">
        <f>SUM(B14+1)</f>
        <v>3</v>
      </c>
      <c r="C18" s="41" t="s">
        <v>86</v>
      </c>
      <c r="D18" s="43"/>
      <c r="E18" s="37"/>
      <c r="F18" s="39"/>
      <c r="G18" s="43"/>
      <c r="H18" s="168">
        <f>SUM(G19:G20)</f>
        <v>8422181.25</v>
      </c>
    </row>
    <row r="19" spans="2:11" ht="60">
      <c r="B19" s="37">
        <f>SUM(B18+0.01)</f>
        <v>3.01</v>
      </c>
      <c r="C19" s="36" t="s">
        <v>89</v>
      </c>
      <c r="D19" s="38" t="s">
        <v>9</v>
      </c>
      <c r="E19" s="44">
        <v>628.98500000000001</v>
      </c>
      <c r="F19" s="39">
        <v>8750</v>
      </c>
      <c r="G19" s="39">
        <f>SUM(E19*F19)</f>
        <v>5503618.75</v>
      </c>
      <c r="H19" s="152"/>
    </row>
    <row r="20" spans="2:11" ht="60">
      <c r="B20" s="37">
        <f>SUM(B19+0.01)</f>
        <v>3.0199999999999996</v>
      </c>
      <c r="C20" s="36" t="s">
        <v>90</v>
      </c>
      <c r="D20" s="38" t="s">
        <v>9</v>
      </c>
      <c r="E20" s="37">
        <v>333.55</v>
      </c>
      <c r="F20" s="39">
        <v>8750</v>
      </c>
      <c r="G20" s="39">
        <f>SUM(E20*F20)</f>
        <v>2918562.5</v>
      </c>
      <c r="H20" s="152"/>
    </row>
    <row r="21" spans="2:11" ht="15.75">
      <c r="B21" s="40">
        <f>SUM(B18+1)</f>
        <v>4</v>
      </c>
      <c r="C21" s="41" t="s">
        <v>87</v>
      </c>
      <c r="D21" s="38"/>
      <c r="E21" s="37"/>
      <c r="F21" s="39"/>
      <c r="G21" s="37"/>
      <c r="H21" s="153"/>
    </row>
    <row r="22" spans="2:11" ht="15.75">
      <c r="B22" s="40"/>
      <c r="C22" s="41" t="s">
        <v>82</v>
      </c>
      <c r="D22" s="38"/>
      <c r="E22" s="37"/>
      <c r="F22" s="39"/>
      <c r="G22" s="37"/>
      <c r="H22" s="168">
        <f>SUM(G23)</f>
        <v>17602332.590000004</v>
      </c>
    </row>
    <row r="23" spans="2:11" ht="15">
      <c r="B23" s="37">
        <f>SUM(B21+0.01)</f>
        <v>4.01</v>
      </c>
      <c r="C23" s="45" t="s">
        <v>190</v>
      </c>
      <c r="D23" s="38" t="s">
        <v>6</v>
      </c>
      <c r="E23" s="37">
        <f>SUM((6.95+4.15+3.45+4.65+1.25+1.6+1.75+5.35+1.7+2.6+5.55)*3)+((2.8+2.43+0.6+1.75+0.6+6.95+0.8+5.62+1.5+1.95+4.7+1.13+6.75+1.25+6+7+1.25+3+1.95+2.45+1.45+1+0.7+2.55+4.75+3.55+5.45+3.47)*3)+((0.65+3.9+2.9+6.45+3.47+6.75+1.25+10.28+2.45+1.45+2.55+1.05+0.7)*3)- (6*2.8)-1.64-0.8</f>
        <v>479.51000000000005</v>
      </c>
      <c r="F23" s="39">
        <v>36709</v>
      </c>
      <c r="G23" s="39">
        <f>SUM(E23*F23)</f>
        <v>17602332.590000004</v>
      </c>
      <c r="H23" s="152"/>
    </row>
    <row r="24" spans="2:11" ht="15.75">
      <c r="B24" s="37"/>
      <c r="C24" s="41" t="s">
        <v>83</v>
      </c>
      <c r="D24" s="38"/>
      <c r="E24" s="37"/>
      <c r="F24" s="39"/>
      <c r="G24" s="39"/>
      <c r="H24" s="168">
        <f>SUM(G25:G27)</f>
        <v>39869269.532000005</v>
      </c>
    </row>
    <row r="25" spans="2:11" ht="135.75" customHeight="1">
      <c r="B25" s="37">
        <f>SUM(B23+0.01)</f>
        <v>4.0199999999999996</v>
      </c>
      <c r="C25" s="36" t="s">
        <v>88</v>
      </c>
      <c r="D25" s="38" t="s">
        <v>6</v>
      </c>
      <c r="E25" s="44">
        <f>SUM((24.69+5.07+(1.75*15)+ (1.25*4)+ (1.04*3)+(2.35*2)+1.8+1.95))*2.3+(75.14)</f>
        <v>242.07400000000001</v>
      </c>
      <c r="F25" s="39">
        <v>105143</v>
      </c>
      <c r="G25" s="39">
        <f>SUM(E25*F25)</f>
        <v>25452386.582000002</v>
      </c>
      <c r="H25" s="152"/>
      <c r="I25" s="194">
        <v>25451966</v>
      </c>
      <c r="J25" s="195">
        <f>SUM(G25-I25)</f>
        <v>420.58200000226498</v>
      </c>
    </row>
    <row r="26" spans="2:11" ht="30">
      <c r="B26" s="37">
        <f>SUM(B25+0.01)</f>
        <v>4.0299999999999994</v>
      </c>
      <c r="C26" s="36" t="s">
        <v>106</v>
      </c>
      <c r="D26" s="38" t="s">
        <v>6</v>
      </c>
      <c r="E26" s="37">
        <f>SUM(20.97)</f>
        <v>20.97</v>
      </c>
      <c r="F26" s="39">
        <v>91799</v>
      </c>
      <c r="G26" s="39">
        <f>SUM(E26*F26)</f>
        <v>1925025.0299999998</v>
      </c>
      <c r="H26" s="152"/>
    </row>
    <row r="27" spans="2:11" ht="30">
      <c r="B27" s="37">
        <f>SUM(B26+0.01)</f>
        <v>4.0399999999999991</v>
      </c>
      <c r="C27" s="36" t="s">
        <v>93</v>
      </c>
      <c r="D27" s="38" t="s">
        <v>6</v>
      </c>
      <c r="E27" s="196">
        <f>SUM(20.97)+((24.69+5.07+(1.75*15)+ (1.25*4)+ (1.04*3)+(2.35*2)+1.8+1.95))*2.3</f>
        <v>187.90400000000002</v>
      </c>
      <c r="F27" s="39">
        <v>66480</v>
      </c>
      <c r="G27" s="39">
        <f>SUM(E27*F27)</f>
        <v>12491857.920000002</v>
      </c>
      <c r="H27" s="152"/>
    </row>
    <row r="28" spans="2:11" ht="15.75">
      <c r="B28" s="40">
        <f>SUM(B21+1)</f>
        <v>5</v>
      </c>
      <c r="C28" s="41" t="s">
        <v>39</v>
      </c>
      <c r="D28" s="38"/>
      <c r="E28" s="37"/>
      <c r="F28" s="39"/>
      <c r="G28" s="39"/>
      <c r="H28" s="191">
        <f>SUM(G29:G30)</f>
        <v>55269039.0283712</v>
      </c>
      <c r="I28" s="197">
        <v>55268190</v>
      </c>
      <c r="J28" s="190"/>
    </row>
    <row r="29" spans="2:11" ht="160.9" customHeight="1">
      <c r="B29" s="37">
        <f>SUM(B28+0.01)</f>
        <v>5.01</v>
      </c>
      <c r="C29" s="36" t="s">
        <v>125</v>
      </c>
      <c r="D29" s="38" t="s">
        <v>6</v>
      </c>
      <c r="E29" s="37">
        <v>525.96</v>
      </c>
      <c r="F29" s="39">
        <v>69091</v>
      </c>
      <c r="G29" s="39">
        <f>SUM(E29*F29)</f>
        <v>36339102.359999999</v>
      </c>
      <c r="H29" s="152"/>
    </row>
    <row r="30" spans="2:11" ht="45">
      <c r="B30" s="37">
        <f>SUM(B29+0.01)</f>
        <v>5.0199999999999996</v>
      </c>
      <c r="C30" s="36" t="s">
        <v>218</v>
      </c>
      <c r="D30" s="38" t="s">
        <v>7</v>
      </c>
      <c r="E30" s="44">
        <v>531.02380689999995</v>
      </c>
      <c r="F30" s="39">
        <v>35648</v>
      </c>
      <c r="G30" s="39">
        <f>SUM(E30*F30)</f>
        <v>18929936.668371197</v>
      </c>
      <c r="H30" s="168"/>
      <c r="K30" s="188"/>
    </row>
    <row r="31" spans="2:11" ht="15.75">
      <c r="B31" s="46"/>
      <c r="C31" s="41" t="s">
        <v>168</v>
      </c>
      <c r="D31" s="47"/>
      <c r="E31" s="37"/>
      <c r="F31" s="48"/>
      <c r="G31" s="49"/>
      <c r="H31" s="168">
        <f>SUM(G32:G34)</f>
        <v>11219041.73</v>
      </c>
    </row>
    <row r="32" spans="2:11" ht="15">
      <c r="B32" s="37">
        <f>SUM(B29+0.01)</f>
        <v>5.0199999999999996</v>
      </c>
      <c r="C32" s="36" t="s">
        <v>165</v>
      </c>
      <c r="D32" s="38" t="s">
        <v>6</v>
      </c>
      <c r="E32" s="37">
        <f>SUM(11+8.7+1.75+1.75+1.75+1.75+6.5+1.75+1.75+1.75)</f>
        <v>38.450000000000003</v>
      </c>
      <c r="F32" s="39">
        <v>29952</v>
      </c>
      <c r="G32" s="39">
        <f>SUM(E32*F32)</f>
        <v>1151654.4000000001</v>
      </c>
      <c r="H32" s="152"/>
    </row>
    <row r="33" spans="2:11" ht="30">
      <c r="B33" s="37">
        <f>SUM(B32+0.01)</f>
        <v>5.0299999999999994</v>
      </c>
      <c r="C33" s="36" t="s">
        <v>167</v>
      </c>
      <c r="D33" s="38" t="s">
        <v>6</v>
      </c>
      <c r="E33" s="44">
        <f>SUM((12.63+12.83+5+5+5+5+5+6+5+5+5)*2.8)</f>
        <v>200.08800000000002</v>
      </c>
      <c r="F33" s="39">
        <v>39910</v>
      </c>
      <c r="G33" s="39">
        <f>SUM(E33*F33)</f>
        <v>7985512.080000001</v>
      </c>
      <c r="H33" s="152"/>
    </row>
    <row r="34" spans="2:11" ht="15">
      <c r="B34" s="37">
        <f>SUM(B33+0.01)</f>
        <v>5.0399999999999991</v>
      </c>
      <c r="C34" s="36" t="s">
        <v>166</v>
      </c>
      <c r="D34" s="38" t="s">
        <v>6</v>
      </c>
      <c r="E34" s="37">
        <f>SUM(11+8.7+1.75+1.75+1.75+1.75+6.5+1.75+1.75+1.75)</f>
        <v>38.450000000000003</v>
      </c>
      <c r="F34" s="39">
        <v>54145</v>
      </c>
      <c r="G34" s="39">
        <f>SUM(E34*F34)</f>
        <v>2081875.2500000002</v>
      </c>
      <c r="H34" s="152"/>
    </row>
    <row r="35" spans="2:11" ht="16.5" thickBot="1">
      <c r="B35" s="40">
        <f>SUM(B28+1)</f>
        <v>6</v>
      </c>
      <c r="C35" s="41" t="s">
        <v>84</v>
      </c>
      <c r="D35" s="42"/>
      <c r="E35" s="37"/>
      <c r="F35" s="39"/>
      <c r="G35" s="43"/>
      <c r="H35" s="168">
        <f>SUM(G36)</f>
        <v>30412320.399999999</v>
      </c>
    </row>
    <row r="36" spans="2:11" ht="15.75" thickBot="1">
      <c r="B36" s="37">
        <f>SUM(B35+0.01)</f>
        <v>6.01</v>
      </c>
      <c r="C36" s="36" t="s">
        <v>27</v>
      </c>
      <c r="D36" s="42" t="s">
        <v>6</v>
      </c>
      <c r="E36" s="37">
        <f>SUM(758.22+ (479.51*2))</f>
        <v>1717.24</v>
      </c>
      <c r="F36" s="39">
        <v>17710</v>
      </c>
      <c r="G36" s="50">
        <f>SUM(E36*F36)</f>
        <v>30412320.399999999</v>
      </c>
      <c r="H36" s="154"/>
      <c r="K36" s="199"/>
    </row>
    <row r="37" spans="2:11" ht="16.5" thickBot="1">
      <c r="B37" s="40">
        <f>SUM(B35+1)</f>
        <v>7</v>
      </c>
      <c r="C37" s="41" t="s">
        <v>38</v>
      </c>
      <c r="D37" s="51"/>
      <c r="E37" s="37"/>
      <c r="F37" s="39"/>
      <c r="G37" s="52"/>
      <c r="H37" s="154">
        <f>SUM(G38:G41)</f>
        <v>80124631.507799983</v>
      </c>
      <c r="I37" s="200">
        <v>80124337</v>
      </c>
      <c r="J37" s="8"/>
      <c r="K37" s="198"/>
    </row>
    <row r="38" spans="2:11" ht="33" customHeight="1">
      <c r="B38" s="37">
        <f>SUM(B37+0.01)</f>
        <v>7.01</v>
      </c>
      <c r="C38" s="36" t="s">
        <v>220</v>
      </c>
      <c r="D38" s="38" t="s">
        <v>6</v>
      </c>
      <c r="E38" s="37">
        <v>790.1</v>
      </c>
      <c r="F38" s="193">
        <v>81224</v>
      </c>
      <c r="G38" s="53">
        <f>SUM(E38*F38)</f>
        <v>64175082.399999999</v>
      </c>
      <c r="H38" s="154"/>
      <c r="I38" s="17"/>
    </row>
    <row r="39" spans="2:11" ht="30">
      <c r="B39" s="37">
        <f>SUM(B38+0.01)</f>
        <v>7.02</v>
      </c>
      <c r="C39" s="36" t="s">
        <v>28</v>
      </c>
      <c r="D39" s="38" t="s">
        <v>6</v>
      </c>
      <c r="E39" s="37">
        <f>SUM(15.17+21.53+14.67+17.71+16.28)</f>
        <v>85.360000000000014</v>
      </c>
      <c r="F39" s="39">
        <v>57124</v>
      </c>
      <c r="G39" s="53">
        <f>SUM(E39*F39)</f>
        <v>4876104.6400000006</v>
      </c>
      <c r="H39" s="154"/>
    </row>
    <row r="40" spans="2:11" ht="30">
      <c r="B40" s="37">
        <f>SUM(B39+0.01)</f>
        <v>7.0299999999999994</v>
      </c>
      <c r="C40" s="36" t="s">
        <v>219</v>
      </c>
      <c r="D40" s="54" t="s">
        <v>7</v>
      </c>
      <c r="E40" s="44">
        <v>410.01205599999997</v>
      </c>
      <c r="F40" s="39">
        <v>24425</v>
      </c>
      <c r="G40" s="53">
        <f>SUM(E40*F40)</f>
        <v>10014544.467799999</v>
      </c>
      <c r="H40" s="154"/>
    </row>
    <row r="41" spans="2:11" ht="15">
      <c r="B41" s="37">
        <f>SUM(B40+0.01)</f>
        <v>7.0399999999999991</v>
      </c>
      <c r="C41" s="55" t="s">
        <v>147</v>
      </c>
      <c r="D41" s="54" t="s">
        <v>7</v>
      </c>
      <c r="E41" s="37">
        <v>50</v>
      </c>
      <c r="F41" s="39">
        <v>21178</v>
      </c>
      <c r="G41" s="53">
        <f>+F41*E41</f>
        <v>1058900</v>
      </c>
      <c r="H41" s="154"/>
    </row>
    <row r="42" spans="2:11" ht="15.75">
      <c r="B42" s="40">
        <f>SUM(B37+1)</f>
        <v>8</v>
      </c>
      <c r="C42" s="41" t="s">
        <v>14</v>
      </c>
      <c r="D42" s="42"/>
      <c r="E42" s="37"/>
      <c r="F42" s="39"/>
      <c r="G42" s="43"/>
      <c r="H42" s="154">
        <f>SUM(G43:G44)</f>
        <v>32584320</v>
      </c>
    </row>
    <row r="43" spans="2:11" ht="105">
      <c r="B43" s="37">
        <f>SUM(B42+0.01)</f>
        <v>8.01</v>
      </c>
      <c r="C43" s="36" t="s">
        <v>126</v>
      </c>
      <c r="D43" s="38" t="s">
        <v>6</v>
      </c>
      <c r="E43" s="37">
        <v>52.27</v>
      </c>
      <c r="F43" s="39">
        <v>288000</v>
      </c>
      <c r="G43" s="56">
        <f>SUM(E43*F43)</f>
        <v>15053760</v>
      </c>
      <c r="H43" s="155"/>
    </row>
    <row r="44" spans="2:11" ht="105">
      <c r="B44" s="37">
        <f>SUM(B43+0.01)</f>
        <v>8.02</v>
      </c>
      <c r="C44" s="36" t="s">
        <v>127</v>
      </c>
      <c r="D44" s="38" t="s">
        <v>6</v>
      </c>
      <c r="E44" s="37">
        <v>60.87</v>
      </c>
      <c r="F44" s="39">
        <v>288000</v>
      </c>
      <c r="G44" s="56">
        <f>SUM(E44*F44)</f>
        <v>17530560</v>
      </c>
      <c r="H44" s="155"/>
    </row>
    <row r="45" spans="2:11" ht="15.75">
      <c r="B45" s="40">
        <f>SUM(B42+1)</f>
        <v>9</v>
      </c>
      <c r="C45" s="41" t="s">
        <v>92</v>
      </c>
      <c r="D45" s="42"/>
      <c r="E45" s="37"/>
      <c r="F45" s="39"/>
      <c r="G45" s="43"/>
      <c r="H45" s="153"/>
    </row>
    <row r="46" spans="2:11" ht="15.75">
      <c r="B46" s="41"/>
      <c r="C46" s="41" t="s">
        <v>29</v>
      </c>
      <c r="D46" s="42"/>
      <c r="E46" s="37"/>
      <c r="F46" s="39"/>
      <c r="G46" s="43"/>
      <c r="H46" s="154">
        <f>SUM(G47:G70)</f>
        <v>172713786.75</v>
      </c>
      <c r="I46" s="204">
        <f>SUM(H46+H71)</f>
        <v>189489968.78240001</v>
      </c>
    </row>
    <row r="47" spans="2:11" ht="60">
      <c r="B47" s="37">
        <f>SUM(B45+0.01)</f>
        <v>9.01</v>
      </c>
      <c r="C47" s="36" t="s">
        <v>221</v>
      </c>
      <c r="D47" s="38" t="s">
        <v>6</v>
      </c>
      <c r="E47" s="37">
        <f>SUM(2*1.4*4)</f>
        <v>11.2</v>
      </c>
      <c r="F47" s="39">
        <v>356233</v>
      </c>
      <c r="G47" s="57">
        <f>SUM(E47*F47)</f>
        <v>3989809.5999999996</v>
      </c>
      <c r="H47" s="156"/>
    </row>
    <row r="48" spans="2:11" ht="60">
      <c r="B48" s="37">
        <f t="shared" ref="B48:B70" si="0">SUM(B47+0.01)</f>
        <v>9.02</v>
      </c>
      <c r="C48" s="36" t="s">
        <v>95</v>
      </c>
      <c r="D48" s="38" t="s">
        <v>6</v>
      </c>
      <c r="E48" s="37">
        <f>SUM(2*1.7*1)</f>
        <v>3.4</v>
      </c>
      <c r="F48" s="39">
        <v>356233</v>
      </c>
      <c r="G48" s="57">
        <f t="shared" ref="G48:G68" si="1">SUM(E48*F48)</f>
        <v>1211192.2</v>
      </c>
      <c r="H48" s="156"/>
    </row>
    <row r="49" spans="2:8" ht="75">
      <c r="B49" s="37">
        <f t="shared" si="0"/>
        <v>9.0299999999999994</v>
      </c>
      <c r="C49" s="36" t="s">
        <v>129</v>
      </c>
      <c r="D49" s="38" t="s">
        <v>6</v>
      </c>
      <c r="E49" s="37">
        <f>SUM(0.6*0.6*20)</f>
        <v>7.1999999999999993</v>
      </c>
      <c r="F49" s="39">
        <v>324957</v>
      </c>
      <c r="G49" s="57">
        <f t="shared" si="1"/>
        <v>2339690.4</v>
      </c>
      <c r="H49" s="156"/>
    </row>
    <row r="50" spans="2:8" ht="60">
      <c r="B50" s="37">
        <f t="shared" si="0"/>
        <v>9.0399999999999991</v>
      </c>
      <c r="C50" s="36" t="s">
        <v>96</v>
      </c>
      <c r="D50" s="38" t="s">
        <v>6</v>
      </c>
      <c r="E50" s="37">
        <f>SUM(1.2*0.5*1)</f>
        <v>0.6</v>
      </c>
      <c r="F50" s="39">
        <v>324957</v>
      </c>
      <c r="G50" s="57">
        <f t="shared" si="1"/>
        <v>194974.19999999998</v>
      </c>
      <c r="H50" s="156"/>
    </row>
    <row r="51" spans="2:8" ht="45">
      <c r="B51" s="37">
        <f t="shared" si="0"/>
        <v>9.0499999999999989</v>
      </c>
      <c r="C51" s="36" t="s">
        <v>97</v>
      </c>
      <c r="D51" s="38" t="s">
        <v>6</v>
      </c>
      <c r="E51" s="37">
        <f>SUM(2.8*0.6*1)</f>
        <v>1.68</v>
      </c>
      <c r="F51" s="193">
        <v>326330</v>
      </c>
      <c r="G51" s="57">
        <f t="shared" si="1"/>
        <v>548234.4</v>
      </c>
      <c r="H51" s="156"/>
    </row>
    <row r="52" spans="2:8" ht="60">
      <c r="B52" s="37">
        <f t="shared" si="0"/>
        <v>9.0599999999999987</v>
      </c>
      <c r="C52" s="36" t="s">
        <v>98</v>
      </c>
      <c r="D52" s="38" t="s">
        <v>6</v>
      </c>
      <c r="E52" s="37">
        <f>SUM(1*1*5)</f>
        <v>5</v>
      </c>
      <c r="F52" s="39">
        <v>356233</v>
      </c>
      <c r="G52" s="57">
        <f t="shared" si="1"/>
        <v>1781165</v>
      </c>
      <c r="H52" s="156"/>
    </row>
    <row r="53" spans="2:8" ht="60">
      <c r="B53" s="37">
        <f t="shared" si="0"/>
        <v>9.0699999999999985</v>
      </c>
      <c r="C53" s="36" t="s">
        <v>99</v>
      </c>
      <c r="D53" s="38" t="s">
        <v>6</v>
      </c>
      <c r="E53" s="37">
        <f>SUM(3.1*0.6*2)</f>
        <v>3.7199999999999998</v>
      </c>
      <c r="F53" s="39">
        <v>324957</v>
      </c>
      <c r="G53" s="57">
        <f t="shared" si="1"/>
        <v>1208840.0399999998</v>
      </c>
      <c r="H53" s="156"/>
    </row>
    <row r="54" spans="2:8" ht="60">
      <c r="B54" s="37">
        <f t="shared" si="0"/>
        <v>9.0799999999999983</v>
      </c>
      <c r="C54" s="36" t="s">
        <v>100</v>
      </c>
      <c r="D54" s="38" t="s">
        <v>6</v>
      </c>
      <c r="E54" s="37">
        <f>SUM(1.2*1.2*4)</f>
        <v>5.76</v>
      </c>
      <c r="F54" s="39">
        <v>356233</v>
      </c>
      <c r="G54" s="57">
        <f t="shared" si="1"/>
        <v>2051902.0799999998</v>
      </c>
      <c r="H54" s="156"/>
    </row>
    <row r="55" spans="2:8" ht="60">
      <c r="B55" s="37">
        <f t="shared" si="0"/>
        <v>9.0899999999999981</v>
      </c>
      <c r="C55" s="36" t="s">
        <v>130</v>
      </c>
      <c r="D55" s="38" t="s">
        <v>6</v>
      </c>
      <c r="E55" s="44">
        <f>SUM(7.85*2.05*1)</f>
        <v>16.092499999999998</v>
      </c>
      <c r="F55" s="193">
        <v>1138440</v>
      </c>
      <c r="G55" s="57">
        <f t="shared" si="1"/>
        <v>18320345.699999996</v>
      </c>
      <c r="H55" s="156"/>
    </row>
    <row r="56" spans="2:8" ht="60">
      <c r="B56" s="44">
        <v>9.1</v>
      </c>
      <c r="C56" s="36" t="s">
        <v>131</v>
      </c>
      <c r="D56" s="38" t="s">
        <v>6</v>
      </c>
      <c r="E56" s="37">
        <f>SUM(3.5*1.65*2)</f>
        <v>11.549999999999999</v>
      </c>
      <c r="F56" s="193">
        <v>1138440</v>
      </c>
      <c r="G56" s="57">
        <f t="shared" si="1"/>
        <v>13148981.999999998</v>
      </c>
      <c r="H56" s="156"/>
    </row>
    <row r="57" spans="2:8" ht="60">
      <c r="B57" s="37">
        <f t="shared" si="0"/>
        <v>9.11</v>
      </c>
      <c r="C57" s="36" t="s">
        <v>101</v>
      </c>
      <c r="D57" s="38" t="s">
        <v>6</v>
      </c>
      <c r="E57" s="37">
        <f>SUM(2.45*0.6*1)</f>
        <v>1.47</v>
      </c>
      <c r="F57" s="39">
        <v>324957</v>
      </c>
      <c r="G57" s="57">
        <f t="shared" si="1"/>
        <v>477686.79</v>
      </c>
      <c r="H57" s="156"/>
    </row>
    <row r="58" spans="2:8" ht="60">
      <c r="B58" s="37">
        <f t="shared" si="0"/>
        <v>9.1199999999999992</v>
      </c>
      <c r="C58" s="36" t="s">
        <v>132</v>
      </c>
      <c r="D58" s="38" t="s">
        <v>6</v>
      </c>
      <c r="E58" s="44">
        <f>SUM(9.15*2.7*1)</f>
        <v>24.705000000000002</v>
      </c>
      <c r="F58" s="39">
        <v>1138440</v>
      </c>
      <c r="G58" s="57">
        <f t="shared" si="1"/>
        <v>28125160.200000003</v>
      </c>
      <c r="H58" s="156"/>
    </row>
    <row r="59" spans="2:8" ht="60">
      <c r="B59" s="37">
        <f t="shared" si="0"/>
        <v>9.129999999999999</v>
      </c>
      <c r="C59" s="36" t="s">
        <v>133</v>
      </c>
      <c r="D59" s="38" t="s">
        <v>6</v>
      </c>
      <c r="E59" s="37">
        <f>SUM(8.8*1.6*1)</f>
        <v>14.080000000000002</v>
      </c>
      <c r="F59" s="39">
        <v>1138521</v>
      </c>
      <c r="G59" s="57">
        <f>SUM(E59*F59)</f>
        <v>16030375.680000002</v>
      </c>
      <c r="H59" s="156"/>
    </row>
    <row r="60" spans="2:8" ht="50.45" customHeight="1">
      <c r="B60" s="37">
        <f t="shared" si="0"/>
        <v>9.1399999999999988</v>
      </c>
      <c r="C60" s="36" t="s">
        <v>104</v>
      </c>
      <c r="D60" s="38" t="s">
        <v>6</v>
      </c>
      <c r="E60" s="37">
        <f>SUM(2.4*1.2*1)</f>
        <v>2.88</v>
      </c>
      <c r="F60" s="39">
        <v>326340</v>
      </c>
      <c r="G60" s="57">
        <f t="shared" si="1"/>
        <v>939859.2</v>
      </c>
      <c r="H60" s="156">
        <v>939859</v>
      </c>
    </row>
    <row r="61" spans="2:8" ht="66.599999999999994" customHeight="1">
      <c r="B61" s="37">
        <f t="shared" si="0"/>
        <v>9.1499999999999986</v>
      </c>
      <c r="C61" s="36" t="s">
        <v>134</v>
      </c>
      <c r="D61" s="38" t="s">
        <v>6</v>
      </c>
      <c r="E61" s="37">
        <f>SUM(0.5*0.5*7)</f>
        <v>1.75</v>
      </c>
      <c r="F61" s="39">
        <v>324957</v>
      </c>
      <c r="G61" s="57">
        <f t="shared" si="1"/>
        <v>568674.75</v>
      </c>
      <c r="H61" s="156"/>
    </row>
    <row r="62" spans="2:8" ht="60">
      <c r="B62" s="37">
        <f t="shared" si="0"/>
        <v>9.1599999999999984</v>
      </c>
      <c r="C62" s="36" t="s">
        <v>135</v>
      </c>
      <c r="D62" s="38" t="s">
        <v>6</v>
      </c>
      <c r="E62" s="37">
        <f>SUM(4.45*1.9*2)</f>
        <v>16.91</v>
      </c>
      <c r="F62" s="39">
        <v>1138440</v>
      </c>
      <c r="G62" s="57">
        <f t="shared" si="1"/>
        <v>19251020.399999999</v>
      </c>
      <c r="H62" s="156"/>
    </row>
    <row r="63" spans="2:8" ht="66" customHeight="1">
      <c r="B63" s="37">
        <f t="shared" si="0"/>
        <v>9.1699999999999982</v>
      </c>
      <c r="C63" s="36" t="s">
        <v>136</v>
      </c>
      <c r="D63" s="38" t="s">
        <v>6</v>
      </c>
      <c r="E63" s="37">
        <f>SUM(3.5*1.65*2)</f>
        <v>11.549999999999999</v>
      </c>
      <c r="F63" s="39">
        <v>1138440</v>
      </c>
      <c r="G63" s="57">
        <f t="shared" si="1"/>
        <v>13148981.999999998</v>
      </c>
      <c r="H63" s="156"/>
    </row>
    <row r="64" spans="2:8" ht="60">
      <c r="B64" s="37">
        <f t="shared" si="0"/>
        <v>9.1799999999999979</v>
      </c>
      <c r="C64" s="36" t="s">
        <v>102</v>
      </c>
      <c r="D64" s="38" t="s">
        <v>6</v>
      </c>
      <c r="E64" s="37">
        <f>SUM(3.5*1*1)</f>
        <v>3.5</v>
      </c>
      <c r="F64" s="39">
        <v>324957</v>
      </c>
      <c r="G64" s="57">
        <f t="shared" si="1"/>
        <v>1137349.5</v>
      </c>
      <c r="H64" s="156"/>
    </row>
    <row r="65" spans="2:8" ht="60">
      <c r="B65" s="37">
        <f t="shared" si="0"/>
        <v>9.1899999999999977</v>
      </c>
      <c r="C65" s="36" t="s">
        <v>137</v>
      </c>
      <c r="D65" s="38" t="s">
        <v>6</v>
      </c>
      <c r="E65" s="37">
        <f>SUM(3.1*1.65*2)</f>
        <v>10.23</v>
      </c>
      <c r="F65" s="39">
        <v>356233</v>
      </c>
      <c r="G65" s="57">
        <f t="shared" si="1"/>
        <v>3644263.5900000003</v>
      </c>
      <c r="H65" s="156"/>
    </row>
    <row r="66" spans="2:8" ht="60">
      <c r="B66" s="44">
        <v>9.1999999999999993</v>
      </c>
      <c r="C66" s="36" t="s">
        <v>138</v>
      </c>
      <c r="D66" s="38" t="s">
        <v>6</v>
      </c>
      <c r="E66" s="37">
        <f>SUM(6.3*1.9*2)</f>
        <v>23.939999999999998</v>
      </c>
      <c r="F66" s="39">
        <v>1138521</v>
      </c>
      <c r="G66" s="203">
        <f t="shared" si="1"/>
        <v>27256192.739999998</v>
      </c>
      <c r="H66" s="156"/>
    </row>
    <row r="67" spans="2:8" ht="60">
      <c r="B67" s="37">
        <f t="shared" si="0"/>
        <v>9.2099999999999991</v>
      </c>
      <c r="C67" s="36" t="s">
        <v>139</v>
      </c>
      <c r="D67" s="38" t="s">
        <v>6</v>
      </c>
      <c r="E67" s="37">
        <f>SUM(2.45*1*2)</f>
        <v>4.9000000000000004</v>
      </c>
      <c r="F67" s="39">
        <v>356233</v>
      </c>
      <c r="G67" s="57">
        <f t="shared" si="1"/>
        <v>1745541.7000000002</v>
      </c>
      <c r="H67" s="156"/>
    </row>
    <row r="68" spans="2:8" ht="60">
      <c r="B68" s="37">
        <f t="shared" si="0"/>
        <v>9.2199999999999989</v>
      </c>
      <c r="C68" s="36" t="s">
        <v>103</v>
      </c>
      <c r="D68" s="38" t="s">
        <v>6</v>
      </c>
      <c r="E68" s="37">
        <f>SUM(0.9*1*1)</f>
        <v>0.9</v>
      </c>
      <c r="F68" s="39">
        <v>356233</v>
      </c>
      <c r="G68" s="57">
        <f t="shared" si="1"/>
        <v>320609.7</v>
      </c>
      <c r="H68" s="156"/>
    </row>
    <row r="69" spans="2:8" ht="60">
      <c r="B69" s="37">
        <f t="shared" si="0"/>
        <v>9.2299999999999986</v>
      </c>
      <c r="C69" s="36" t="s">
        <v>140</v>
      </c>
      <c r="D69" s="38" t="s">
        <v>6</v>
      </c>
      <c r="E69" s="37">
        <f>SUM(7*1.4*1)</f>
        <v>9.7999999999999989</v>
      </c>
      <c r="F69" s="39">
        <v>1138440</v>
      </c>
      <c r="G69" s="57">
        <f>SUM(E69*F69)</f>
        <v>11156711.999999998</v>
      </c>
      <c r="H69" s="156"/>
    </row>
    <row r="70" spans="2:8" ht="45">
      <c r="B70" s="37">
        <f t="shared" si="0"/>
        <v>9.2399999999999984</v>
      </c>
      <c r="C70" s="36" t="s">
        <v>149</v>
      </c>
      <c r="D70" s="59" t="s">
        <v>6</v>
      </c>
      <c r="E70" s="37">
        <f>SUM(1.4*8.2)</f>
        <v>11.479999999999999</v>
      </c>
      <c r="F70" s="193">
        <v>358556</v>
      </c>
      <c r="G70" s="57">
        <f>SUM(E70*F70)</f>
        <v>4116222.8799999994</v>
      </c>
      <c r="H70" s="156"/>
    </row>
    <row r="71" spans="2:8" ht="47.25">
      <c r="B71" s="37"/>
      <c r="C71" s="63" t="s">
        <v>212</v>
      </c>
      <c r="D71" s="150"/>
      <c r="E71" s="37"/>
      <c r="F71" s="39"/>
      <c r="G71" s="57"/>
      <c r="H71" s="154">
        <f>SUM(G72:G73)</f>
        <v>16776182.032400001</v>
      </c>
    </row>
    <row r="72" spans="2:8" ht="45">
      <c r="B72" s="37">
        <f>SUM(B70+0.01)</f>
        <v>9.2499999999999982</v>
      </c>
      <c r="C72" s="36" t="s">
        <v>107</v>
      </c>
      <c r="D72" s="38" t="s">
        <v>6</v>
      </c>
      <c r="E72" s="37">
        <v>200</v>
      </c>
      <c r="F72" s="39">
        <v>61111</v>
      </c>
      <c r="G72" s="57">
        <f>SUM(E72*F72)</f>
        <v>12222200</v>
      </c>
      <c r="H72" s="156"/>
    </row>
    <row r="73" spans="2:8" ht="30">
      <c r="B73" s="121" t="s">
        <v>211</v>
      </c>
      <c r="C73" s="36" t="s">
        <v>196</v>
      </c>
      <c r="D73" s="38" t="s">
        <v>6</v>
      </c>
      <c r="E73" s="44">
        <v>85.793071577400596</v>
      </c>
      <c r="F73" s="39">
        <v>53081</v>
      </c>
      <c r="G73" s="57">
        <f>SUM(E73*F73)</f>
        <v>4553982.0324000008</v>
      </c>
      <c r="H73" s="156"/>
    </row>
    <row r="75" spans="2:8" ht="15.75">
      <c r="B75" s="37"/>
      <c r="C75" s="41" t="s">
        <v>30</v>
      </c>
      <c r="D75" s="38"/>
      <c r="E75" s="37"/>
      <c r="F75" s="39"/>
      <c r="G75" s="57"/>
      <c r="H75" s="154">
        <f>SUM(G76:G87)</f>
        <v>49352428.925000012</v>
      </c>
    </row>
    <row r="76" spans="2:8" ht="90">
      <c r="B76" s="37">
        <f>SUM(B72+0.01)</f>
        <v>9.259999999999998</v>
      </c>
      <c r="C76" s="36" t="s">
        <v>37</v>
      </c>
      <c r="D76" s="38" t="s">
        <v>6</v>
      </c>
      <c r="E76" s="37">
        <f>SUM(3*2.3)</f>
        <v>6.8999999999999995</v>
      </c>
      <c r="F76" s="39">
        <v>570585</v>
      </c>
      <c r="G76" s="57">
        <f t="shared" ref="G76:G87" si="2">SUM(E76*F76)</f>
        <v>3937036.4999999995</v>
      </c>
      <c r="H76" s="156"/>
    </row>
    <row r="77" spans="2:8" ht="90">
      <c r="B77" s="37">
        <f>SUM(B76+0.01)</f>
        <v>9.2699999999999978</v>
      </c>
      <c r="C77" s="36" t="s">
        <v>31</v>
      </c>
      <c r="D77" s="38" t="s">
        <v>6</v>
      </c>
      <c r="E77" s="37">
        <f>SUM(2.5*2.3*2)</f>
        <v>11.5</v>
      </c>
      <c r="F77" s="39">
        <v>570585</v>
      </c>
      <c r="G77" s="57">
        <f t="shared" si="2"/>
        <v>6561727.5</v>
      </c>
      <c r="H77" s="156"/>
    </row>
    <row r="78" spans="2:8" ht="90">
      <c r="B78" s="37">
        <f>SUM(B77+0.01)</f>
        <v>9.2799999999999976</v>
      </c>
      <c r="C78" s="36" t="s">
        <v>32</v>
      </c>
      <c r="D78" s="38" t="s">
        <v>6</v>
      </c>
      <c r="E78" s="37">
        <f>SUM(2*2.3*5)</f>
        <v>23</v>
      </c>
      <c r="F78" s="39">
        <v>570585</v>
      </c>
      <c r="G78" s="57">
        <f t="shared" si="2"/>
        <v>13123455</v>
      </c>
      <c r="H78" s="156"/>
    </row>
    <row r="79" spans="2:8" ht="90">
      <c r="B79" s="37">
        <f t="shared" ref="B79:B87" si="3">SUM(B78+0.01)</f>
        <v>9.2899999999999974</v>
      </c>
      <c r="C79" s="36" t="s">
        <v>191</v>
      </c>
      <c r="D79" s="38" t="s">
        <v>6</v>
      </c>
      <c r="E79" s="37">
        <f>SUM(1.6*2.3)</f>
        <v>3.6799999999999997</v>
      </c>
      <c r="F79" s="39">
        <v>570585</v>
      </c>
      <c r="G79" s="57">
        <f t="shared" si="2"/>
        <v>2099752.7999999998</v>
      </c>
      <c r="H79" s="156"/>
    </row>
    <row r="80" spans="2:8" ht="90">
      <c r="B80" s="44">
        <f t="shared" si="3"/>
        <v>9.2999999999999972</v>
      </c>
      <c r="C80" s="36" t="s">
        <v>192</v>
      </c>
      <c r="D80" s="38" t="s">
        <v>6</v>
      </c>
      <c r="E80" s="37">
        <f>SUM(1.75*2.3*3)</f>
        <v>12.074999999999999</v>
      </c>
      <c r="F80" s="39">
        <v>570585</v>
      </c>
      <c r="G80" s="57">
        <f t="shared" si="2"/>
        <v>6889813.875</v>
      </c>
      <c r="H80" s="156"/>
    </row>
    <row r="81" spans="2:8" ht="90">
      <c r="B81" s="44">
        <f t="shared" si="3"/>
        <v>9.3099999999999969</v>
      </c>
      <c r="C81" s="36" t="s">
        <v>36</v>
      </c>
      <c r="D81" s="38" t="s">
        <v>6</v>
      </c>
      <c r="E81" s="37">
        <f>SUM(0.9*2.3*6)</f>
        <v>12.419999999999998</v>
      </c>
      <c r="F81" s="39">
        <v>422824</v>
      </c>
      <c r="G81" s="57">
        <f t="shared" si="2"/>
        <v>5251474.0799999991</v>
      </c>
      <c r="H81" s="156"/>
    </row>
    <row r="82" spans="2:8" ht="90">
      <c r="B82" s="44">
        <f t="shared" si="3"/>
        <v>9.3199999999999967</v>
      </c>
      <c r="C82" s="36" t="s">
        <v>35</v>
      </c>
      <c r="D82" s="38" t="s">
        <v>6</v>
      </c>
      <c r="E82" s="37">
        <f>SUM(1*2.3*1)</f>
        <v>2.2999999999999998</v>
      </c>
      <c r="F82" s="39">
        <v>422824</v>
      </c>
      <c r="G82" s="57">
        <f t="shared" si="2"/>
        <v>972495.2</v>
      </c>
      <c r="H82" s="156"/>
    </row>
    <row r="83" spans="2:8" ht="90">
      <c r="B83" s="205">
        <f t="shared" si="3"/>
        <v>9.3299999999999965</v>
      </c>
      <c r="C83" s="36" t="s">
        <v>222</v>
      </c>
      <c r="D83" s="38" t="s">
        <v>6</v>
      </c>
      <c r="E83" s="44">
        <f>SUM(0.85*2.3*1)</f>
        <v>1.9549999999999998</v>
      </c>
      <c r="F83" s="39">
        <v>422823</v>
      </c>
      <c r="G83" s="57">
        <f>SUM(E83*F83)</f>
        <v>826618.96499999997</v>
      </c>
      <c r="H83" s="156"/>
    </row>
    <row r="84" spans="2:8" ht="96" customHeight="1">
      <c r="B84" s="44">
        <f t="shared" si="3"/>
        <v>9.3399999999999963</v>
      </c>
      <c r="C84" s="36" t="s">
        <v>34</v>
      </c>
      <c r="D84" s="38" t="s">
        <v>6</v>
      </c>
      <c r="E84" s="37">
        <f>SUM(0.7*2.2*1)</f>
        <v>1.54</v>
      </c>
      <c r="F84" s="39">
        <v>422824</v>
      </c>
      <c r="G84" s="57">
        <f t="shared" si="2"/>
        <v>651148.96</v>
      </c>
      <c r="H84" s="156"/>
    </row>
    <row r="85" spans="2:8" ht="96.6" customHeight="1">
      <c r="B85" s="44">
        <f t="shared" si="3"/>
        <v>9.3499999999999961</v>
      </c>
      <c r="C85" s="36" t="s">
        <v>33</v>
      </c>
      <c r="D85" s="38" t="s">
        <v>6</v>
      </c>
      <c r="E85" s="37">
        <f>SUM(0.6*2.3*4)</f>
        <v>5.52</v>
      </c>
      <c r="F85" s="39">
        <v>422824</v>
      </c>
      <c r="G85" s="57">
        <f t="shared" si="2"/>
        <v>2333988.48</v>
      </c>
      <c r="H85" s="156"/>
    </row>
    <row r="86" spans="2:8" ht="96.6" customHeight="1">
      <c r="B86" s="205">
        <f t="shared" si="3"/>
        <v>9.3599999999999959</v>
      </c>
      <c r="C86" s="36" t="s">
        <v>223</v>
      </c>
      <c r="D86" s="38" t="s">
        <v>6</v>
      </c>
      <c r="E86" s="44">
        <f>SUM(2.15*2.3*1)</f>
        <v>4.9449999999999994</v>
      </c>
      <c r="F86" s="39">
        <v>570585</v>
      </c>
      <c r="G86" s="57">
        <f>SUM(E86*F86)</f>
        <v>2821542.8249999997</v>
      </c>
      <c r="H86" s="156"/>
    </row>
    <row r="87" spans="2:8" ht="97.5" customHeight="1">
      <c r="B87" s="44">
        <f t="shared" si="3"/>
        <v>9.3699999999999957</v>
      </c>
      <c r="C87" s="36" t="s">
        <v>94</v>
      </c>
      <c r="D87" s="38" t="s">
        <v>6</v>
      </c>
      <c r="E87" s="37">
        <f>SUM(1.4*2.3)</f>
        <v>3.2199999999999998</v>
      </c>
      <c r="F87" s="39">
        <v>1206017</v>
      </c>
      <c r="G87" s="57">
        <f t="shared" si="2"/>
        <v>3883374.7399999998</v>
      </c>
      <c r="H87" s="156"/>
    </row>
    <row r="88" spans="2:8" ht="15.75">
      <c r="B88" s="40">
        <f>SUM(B45+1)</f>
        <v>10</v>
      </c>
      <c r="C88" s="41" t="s">
        <v>13</v>
      </c>
      <c r="D88" s="60"/>
      <c r="E88" s="37"/>
      <c r="F88" s="39"/>
      <c r="G88" s="61"/>
      <c r="H88" s="169"/>
    </row>
    <row r="89" spans="2:8" ht="15.75">
      <c r="B89" s="62"/>
      <c r="C89" s="63" t="s">
        <v>41</v>
      </c>
      <c r="D89" s="60"/>
      <c r="E89" s="37"/>
      <c r="F89" s="39"/>
      <c r="G89" s="60"/>
      <c r="H89" s="154">
        <f>SUM(G90:G100)</f>
        <v>12675420</v>
      </c>
    </row>
    <row r="90" spans="2:8" ht="15">
      <c r="B90" s="37">
        <f>SUM(B88+0.01)</f>
        <v>10.01</v>
      </c>
      <c r="C90" s="36" t="s">
        <v>40</v>
      </c>
      <c r="D90" s="38" t="s">
        <v>7</v>
      </c>
      <c r="E90" s="37">
        <v>50</v>
      </c>
      <c r="F90" s="39">
        <v>11200</v>
      </c>
      <c r="G90" s="39">
        <f t="shared" ref="G90:G100" si="4">SUM(E90*F90)</f>
        <v>560000</v>
      </c>
      <c r="H90" s="152"/>
    </row>
    <row r="91" spans="2:8" ht="30">
      <c r="B91" s="44">
        <f>SUM(B90+0.01)</f>
        <v>10.02</v>
      </c>
      <c r="C91" s="36" t="s">
        <v>42</v>
      </c>
      <c r="D91" s="62" t="s">
        <v>111</v>
      </c>
      <c r="E91" s="37">
        <v>1</v>
      </c>
      <c r="F91" s="39">
        <v>343500</v>
      </c>
      <c r="G91" s="39">
        <f t="shared" si="4"/>
        <v>343500</v>
      </c>
      <c r="H91" s="152"/>
    </row>
    <row r="92" spans="2:8" ht="15">
      <c r="B92" s="44">
        <f t="shared" ref="B92:B100" si="5">SUM(B91+0.01)</f>
        <v>10.029999999999999</v>
      </c>
      <c r="C92" s="36" t="s">
        <v>43</v>
      </c>
      <c r="D92" s="62" t="s">
        <v>111</v>
      </c>
      <c r="E92" s="37">
        <v>1</v>
      </c>
      <c r="F92" s="39">
        <v>746500</v>
      </c>
      <c r="G92" s="39">
        <f t="shared" si="4"/>
        <v>746500</v>
      </c>
      <c r="H92" s="152"/>
    </row>
    <row r="93" spans="2:8" ht="15">
      <c r="B93" s="44">
        <f t="shared" si="5"/>
        <v>10.039999999999999</v>
      </c>
      <c r="C93" s="36" t="s">
        <v>44</v>
      </c>
      <c r="D93" s="62" t="s">
        <v>111</v>
      </c>
      <c r="E93" s="37">
        <v>1</v>
      </c>
      <c r="F93" s="39">
        <v>895500</v>
      </c>
      <c r="G93" s="39">
        <f t="shared" si="4"/>
        <v>895500</v>
      </c>
      <c r="H93" s="152"/>
    </row>
    <row r="94" spans="2:8" ht="30">
      <c r="B94" s="44">
        <f t="shared" si="5"/>
        <v>10.049999999999999</v>
      </c>
      <c r="C94" s="36" t="s">
        <v>45</v>
      </c>
      <c r="D94" s="62" t="s">
        <v>111</v>
      </c>
      <c r="E94" s="37">
        <v>1</v>
      </c>
      <c r="F94" s="39">
        <v>796400</v>
      </c>
      <c r="G94" s="39">
        <f t="shared" si="4"/>
        <v>796400</v>
      </c>
      <c r="H94" s="152"/>
    </row>
    <row r="95" spans="2:8" ht="30">
      <c r="B95" s="44">
        <f t="shared" si="5"/>
        <v>10.059999999999999</v>
      </c>
      <c r="C95" s="36" t="s">
        <v>46</v>
      </c>
      <c r="D95" s="62" t="s">
        <v>47</v>
      </c>
      <c r="E95" s="37">
        <v>1</v>
      </c>
      <c r="F95" s="39">
        <v>1800000</v>
      </c>
      <c r="G95" s="57">
        <f t="shared" si="4"/>
        <v>1800000</v>
      </c>
      <c r="H95" s="156"/>
    </row>
    <row r="96" spans="2:8" ht="45">
      <c r="B96" s="44">
        <f t="shared" si="5"/>
        <v>10.069999999999999</v>
      </c>
      <c r="C96" s="36" t="s">
        <v>48</v>
      </c>
      <c r="D96" s="62" t="s">
        <v>47</v>
      </c>
      <c r="E96" s="37">
        <v>1</v>
      </c>
      <c r="F96" s="39">
        <v>2846020</v>
      </c>
      <c r="G96" s="57">
        <f t="shared" si="4"/>
        <v>2846020</v>
      </c>
      <c r="H96" s="156"/>
    </row>
    <row r="97" spans="2:8" ht="30">
      <c r="B97" s="44">
        <f t="shared" si="5"/>
        <v>10.079999999999998</v>
      </c>
      <c r="C97" s="36" t="s">
        <v>49</v>
      </c>
      <c r="D97" s="62" t="s">
        <v>111</v>
      </c>
      <c r="E97" s="37">
        <v>1</v>
      </c>
      <c r="F97" s="39">
        <v>671500</v>
      </c>
      <c r="G97" s="57">
        <f t="shared" si="4"/>
        <v>671500</v>
      </c>
      <c r="H97" s="156"/>
    </row>
    <row r="98" spans="2:8" ht="34.5" customHeight="1">
      <c r="B98" s="44">
        <f t="shared" si="5"/>
        <v>10.089999999999998</v>
      </c>
      <c r="C98" s="36" t="s">
        <v>50</v>
      </c>
      <c r="D98" s="62" t="s">
        <v>111</v>
      </c>
      <c r="E98" s="37">
        <v>2</v>
      </c>
      <c r="F98" s="39">
        <v>566000</v>
      </c>
      <c r="G98" s="57">
        <f t="shared" si="4"/>
        <v>1132000</v>
      </c>
      <c r="H98" s="156"/>
    </row>
    <row r="99" spans="2:8" ht="30">
      <c r="B99" s="44">
        <f t="shared" si="5"/>
        <v>10.099999999999998</v>
      </c>
      <c r="C99" s="36" t="s">
        <v>51</v>
      </c>
      <c r="D99" s="62" t="s">
        <v>7</v>
      </c>
      <c r="E99" s="37">
        <v>10</v>
      </c>
      <c r="F99" s="39">
        <v>41400</v>
      </c>
      <c r="G99" s="57">
        <f t="shared" si="4"/>
        <v>414000</v>
      </c>
      <c r="H99" s="156"/>
    </row>
    <row r="100" spans="2:8" ht="48">
      <c r="B100" s="44">
        <f t="shared" si="5"/>
        <v>10.109999999999998</v>
      </c>
      <c r="C100" s="36" t="s">
        <v>193</v>
      </c>
      <c r="D100" s="62" t="s">
        <v>7</v>
      </c>
      <c r="E100" s="37">
        <v>20</v>
      </c>
      <c r="F100" s="39">
        <v>123500</v>
      </c>
      <c r="G100" s="57">
        <f t="shared" si="4"/>
        <v>2470000</v>
      </c>
      <c r="H100" s="156"/>
    </row>
    <row r="101" spans="2:8" ht="15.75">
      <c r="B101" s="62"/>
      <c r="C101" s="63" t="s">
        <v>52</v>
      </c>
      <c r="D101" s="62"/>
      <c r="E101" s="37"/>
      <c r="F101" s="39"/>
      <c r="G101" s="57"/>
      <c r="H101" s="154">
        <f>SUM(G102:G112)</f>
        <v>58113870</v>
      </c>
    </row>
    <row r="102" spans="2:8" ht="45">
      <c r="B102" s="44">
        <f>SUM(B100+0.01)</f>
        <v>10.119999999999997</v>
      </c>
      <c r="C102" s="36" t="s">
        <v>53</v>
      </c>
      <c r="D102" s="62" t="s">
        <v>7</v>
      </c>
      <c r="E102" s="37">
        <v>10</v>
      </c>
      <c r="F102" s="39">
        <v>534800</v>
      </c>
      <c r="G102" s="57">
        <f t="shared" ref="G102:G112" si="6">SUM(E102*F102)</f>
        <v>5348000</v>
      </c>
      <c r="H102" s="156"/>
    </row>
    <row r="103" spans="2:8" ht="60">
      <c r="B103" s="44">
        <f>SUM(B102+0.01)</f>
        <v>10.129999999999997</v>
      </c>
      <c r="C103" s="36" t="s">
        <v>54</v>
      </c>
      <c r="D103" s="62" t="s">
        <v>7</v>
      </c>
      <c r="E103" s="37">
        <v>10</v>
      </c>
      <c r="F103" s="39">
        <v>534800</v>
      </c>
      <c r="G103" s="57">
        <f t="shared" si="6"/>
        <v>5348000</v>
      </c>
      <c r="H103" s="156"/>
    </row>
    <row r="104" spans="2:8" ht="75">
      <c r="B104" s="44">
        <f t="shared" ref="B104:B112" si="7">SUM(B103+0.01)</f>
        <v>10.139999999999997</v>
      </c>
      <c r="C104" s="36" t="s">
        <v>55</v>
      </c>
      <c r="D104" s="62" t="s">
        <v>111</v>
      </c>
      <c r="E104" s="37">
        <v>1</v>
      </c>
      <c r="F104" s="39">
        <v>21185000</v>
      </c>
      <c r="G104" s="57">
        <f t="shared" si="6"/>
        <v>21185000</v>
      </c>
      <c r="H104" s="156"/>
    </row>
    <row r="105" spans="2:8" ht="45">
      <c r="B105" s="44">
        <f t="shared" si="7"/>
        <v>10.149999999999997</v>
      </c>
      <c r="C105" s="36" t="s">
        <v>56</v>
      </c>
      <c r="D105" s="62" t="s">
        <v>7</v>
      </c>
      <c r="E105" s="37">
        <v>40</v>
      </c>
      <c r="F105" s="39">
        <v>34773</v>
      </c>
      <c r="G105" s="57">
        <f t="shared" si="6"/>
        <v>1390920</v>
      </c>
      <c r="H105" s="156"/>
    </row>
    <row r="106" spans="2:8" ht="45">
      <c r="B106" s="44">
        <f t="shared" si="7"/>
        <v>10.159999999999997</v>
      </c>
      <c r="C106" s="36" t="s">
        <v>57</v>
      </c>
      <c r="D106" s="62" t="s">
        <v>7</v>
      </c>
      <c r="E106" s="37">
        <v>50</v>
      </c>
      <c r="F106" s="39">
        <v>34528</v>
      </c>
      <c r="G106" s="57">
        <f t="shared" si="6"/>
        <v>1726400</v>
      </c>
      <c r="H106" s="156"/>
    </row>
    <row r="107" spans="2:8" ht="45">
      <c r="B107" s="44">
        <f t="shared" si="7"/>
        <v>10.169999999999996</v>
      </c>
      <c r="C107" s="36" t="s">
        <v>58</v>
      </c>
      <c r="D107" s="62" t="s">
        <v>7</v>
      </c>
      <c r="E107" s="37">
        <v>55</v>
      </c>
      <c r="F107" s="39">
        <v>34496</v>
      </c>
      <c r="G107" s="57">
        <f t="shared" si="6"/>
        <v>1897280</v>
      </c>
      <c r="H107" s="156"/>
    </row>
    <row r="108" spans="2:8" ht="45">
      <c r="B108" s="44">
        <f t="shared" si="7"/>
        <v>10.179999999999996</v>
      </c>
      <c r="C108" s="36" t="s">
        <v>59</v>
      </c>
      <c r="D108" s="62" t="s">
        <v>7</v>
      </c>
      <c r="E108" s="37">
        <v>45</v>
      </c>
      <c r="F108" s="39">
        <v>23508</v>
      </c>
      <c r="G108" s="57">
        <f t="shared" si="6"/>
        <v>1057860</v>
      </c>
      <c r="H108" s="156"/>
    </row>
    <row r="109" spans="2:8" ht="45">
      <c r="B109" s="44">
        <f t="shared" si="7"/>
        <v>10.189999999999996</v>
      </c>
      <c r="C109" s="36" t="s">
        <v>61</v>
      </c>
      <c r="D109" s="62" t="s">
        <v>7</v>
      </c>
      <c r="E109" s="37">
        <v>40</v>
      </c>
      <c r="F109" s="39">
        <v>133325</v>
      </c>
      <c r="G109" s="57">
        <f t="shared" si="6"/>
        <v>5333000</v>
      </c>
      <c r="H109" s="156"/>
    </row>
    <row r="110" spans="2:8" ht="45">
      <c r="B110" s="44">
        <f t="shared" si="7"/>
        <v>10.199999999999996</v>
      </c>
      <c r="C110" s="36" t="s">
        <v>60</v>
      </c>
      <c r="D110" s="62" t="s">
        <v>7</v>
      </c>
      <c r="E110" s="37">
        <v>60</v>
      </c>
      <c r="F110" s="39">
        <v>112379</v>
      </c>
      <c r="G110" s="57">
        <f t="shared" si="6"/>
        <v>6742740</v>
      </c>
      <c r="H110" s="156"/>
    </row>
    <row r="111" spans="2:8" ht="45">
      <c r="B111" s="44">
        <f t="shared" si="7"/>
        <v>10.209999999999996</v>
      </c>
      <c r="C111" s="36" t="s">
        <v>62</v>
      </c>
      <c r="D111" s="62" t="s">
        <v>7</v>
      </c>
      <c r="E111" s="37">
        <v>55</v>
      </c>
      <c r="F111" s="39">
        <v>34460</v>
      </c>
      <c r="G111" s="57">
        <f t="shared" si="6"/>
        <v>1895300</v>
      </c>
      <c r="H111" s="156"/>
    </row>
    <row r="112" spans="2:8" ht="45">
      <c r="B112" s="44">
        <f t="shared" si="7"/>
        <v>10.219999999999995</v>
      </c>
      <c r="C112" s="36" t="s">
        <v>63</v>
      </c>
      <c r="D112" s="62" t="s">
        <v>7</v>
      </c>
      <c r="E112" s="37">
        <v>55</v>
      </c>
      <c r="F112" s="39">
        <v>112534</v>
      </c>
      <c r="G112" s="57">
        <f t="shared" si="6"/>
        <v>6189370</v>
      </c>
      <c r="H112" s="156"/>
    </row>
    <row r="113" spans="2:8" ht="15.75">
      <c r="B113" s="64"/>
      <c r="C113" s="63" t="s">
        <v>22</v>
      </c>
      <c r="D113" s="62"/>
      <c r="E113" s="37"/>
      <c r="F113" s="39"/>
      <c r="G113" s="65"/>
      <c r="H113" s="154">
        <f>SUM(G114:G130)</f>
        <v>10954000</v>
      </c>
    </row>
    <row r="114" spans="2:8" ht="15">
      <c r="B114" s="44">
        <f>SUM(B112+0.01)</f>
        <v>10.229999999999995</v>
      </c>
      <c r="C114" s="36" t="s">
        <v>64</v>
      </c>
      <c r="D114" s="66" t="s">
        <v>111</v>
      </c>
      <c r="E114" s="37">
        <v>1</v>
      </c>
      <c r="F114" s="39">
        <v>185000</v>
      </c>
      <c r="G114" s="57">
        <f t="shared" ref="G114:G130" si="8">SUM(E114*F114)</f>
        <v>185000</v>
      </c>
      <c r="H114" s="156"/>
    </row>
    <row r="115" spans="2:8" ht="15">
      <c r="B115" s="44">
        <f>SUM(B114+0.01)</f>
        <v>10.239999999999995</v>
      </c>
      <c r="C115" s="36" t="s">
        <v>65</v>
      </c>
      <c r="D115" s="66" t="s">
        <v>111</v>
      </c>
      <c r="E115" s="37">
        <v>5</v>
      </c>
      <c r="F115" s="39">
        <v>165000</v>
      </c>
      <c r="G115" s="57">
        <f t="shared" si="8"/>
        <v>825000</v>
      </c>
      <c r="H115" s="156"/>
    </row>
    <row r="116" spans="2:8" ht="15">
      <c r="B116" s="44">
        <f t="shared" ref="B116:B130" si="9">SUM(B115+0.01)</f>
        <v>10.249999999999995</v>
      </c>
      <c r="C116" s="36" t="s">
        <v>66</v>
      </c>
      <c r="D116" s="66" t="s">
        <v>111</v>
      </c>
      <c r="E116" s="37">
        <v>12</v>
      </c>
      <c r="F116" s="39">
        <v>25000</v>
      </c>
      <c r="G116" s="57">
        <f t="shared" si="8"/>
        <v>300000</v>
      </c>
      <c r="H116" s="156"/>
    </row>
    <row r="117" spans="2:8" ht="15">
      <c r="B117" s="44">
        <f t="shared" si="9"/>
        <v>10.259999999999994</v>
      </c>
      <c r="C117" s="36" t="s">
        <v>67</v>
      </c>
      <c r="D117" s="66" t="s">
        <v>111</v>
      </c>
      <c r="E117" s="37">
        <v>6</v>
      </c>
      <c r="F117" s="39">
        <v>38000</v>
      </c>
      <c r="G117" s="57">
        <f t="shared" si="8"/>
        <v>228000</v>
      </c>
      <c r="H117" s="156"/>
    </row>
    <row r="118" spans="2:8" ht="15">
      <c r="B118" s="44">
        <f t="shared" si="9"/>
        <v>10.269999999999994</v>
      </c>
      <c r="C118" s="36" t="s">
        <v>68</v>
      </c>
      <c r="D118" s="66" t="s">
        <v>111</v>
      </c>
      <c r="E118" s="37">
        <v>36</v>
      </c>
      <c r="F118" s="39">
        <v>35000</v>
      </c>
      <c r="G118" s="57">
        <f t="shared" si="8"/>
        <v>1260000</v>
      </c>
      <c r="H118" s="156"/>
    </row>
    <row r="119" spans="2:8" ht="15">
      <c r="B119" s="44">
        <f t="shared" si="9"/>
        <v>10.279999999999994</v>
      </c>
      <c r="C119" s="36" t="s">
        <v>69</v>
      </c>
      <c r="D119" s="66" t="s">
        <v>111</v>
      </c>
      <c r="E119" s="37">
        <v>150</v>
      </c>
      <c r="F119" s="39">
        <v>9500</v>
      </c>
      <c r="G119" s="57">
        <f t="shared" si="8"/>
        <v>1425000</v>
      </c>
      <c r="H119" s="156"/>
    </row>
    <row r="120" spans="2:8" ht="15">
      <c r="B120" s="44">
        <f t="shared" si="9"/>
        <v>10.289999999999994</v>
      </c>
      <c r="C120" s="36" t="s">
        <v>70</v>
      </c>
      <c r="D120" s="66" t="s">
        <v>111</v>
      </c>
      <c r="E120" s="37">
        <v>150</v>
      </c>
      <c r="F120" s="39">
        <v>1300</v>
      </c>
      <c r="G120" s="57">
        <f t="shared" si="8"/>
        <v>195000</v>
      </c>
      <c r="H120" s="156"/>
    </row>
    <row r="121" spans="2:8" ht="15">
      <c r="B121" s="44">
        <f t="shared" si="9"/>
        <v>10.299999999999994</v>
      </c>
      <c r="C121" s="36" t="s">
        <v>71</v>
      </c>
      <c r="D121" s="66" t="s">
        <v>7</v>
      </c>
      <c r="E121" s="37">
        <v>200</v>
      </c>
      <c r="F121" s="39">
        <v>5200</v>
      </c>
      <c r="G121" s="57">
        <f t="shared" si="8"/>
        <v>1040000</v>
      </c>
      <c r="H121" s="156"/>
    </row>
    <row r="122" spans="2:8" ht="15">
      <c r="B122" s="44">
        <f t="shared" si="9"/>
        <v>10.309999999999993</v>
      </c>
      <c r="C122" s="36" t="s">
        <v>72</v>
      </c>
      <c r="D122" s="66" t="s">
        <v>111</v>
      </c>
      <c r="E122" s="37">
        <v>6</v>
      </c>
      <c r="F122" s="39">
        <v>45000</v>
      </c>
      <c r="G122" s="57">
        <f t="shared" si="8"/>
        <v>270000</v>
      </c>
      <c r="H122" s="156"/>
    </row>
    <row r="123" spans="2:8" ht="15">
      <c r="B123" s="44">
        <f t="shared" si="9"/>
        <v>10.319999999999993</v>
      </c>
      <c r="C123" s="36" t="s">
        <v>73</v>
      </c>
      <c r="D123" s="66" t="s">
        <v>7</v>
      </c>
      <c r="E123" s="37">
        <v>12</v>
      </c>
      <c r="F123" s="39">
        <v>68000</v>
      </c>
      <c r="G123" s="57">
        <f t="shared" si="8"/>
        <v>816000</v>
      </c>
      <c r="H123" s="156"/>
    </row>
    <row r="124" spans="2:8" ht="30">
      <c r="B124" s="44">
        <f t="shared" si="9"/>
        <v>10.329999999999993</v>
      </c>
      <c r="C124" s="36" t="s">
        <v>74</v>
      </c>
      <c r="D124" s="66" t="s">
        <v>111</v>
      </c>
      <c r="E124" s="37">
        <v>6</v>
      </c>
      <c r="F124" s="39">
        <v>48000</v>
      </c>
      <c r="G124" s="57">
        <f t="shared" si="8"/>
        <v>288000</v>
      </c>
      <c r="H124" s="156"/>
    </row>
    <row r="125" spans="2:8" ht="30">
      <c r="B125" s="44">
        <f t="shared" si="9"/>
        <v>10.339999999999993</v>
      </c>
      <c r="C125" s="36" t="s">
        <v>75</v>
      </c>
      <c r="D125" s="66" t="s">
        <v>111</v>
      </c>
      <c r="E125" s="37">
        <v>18</v>
      </c>
      <c r="F125" s="39">
        <v>3500</v>
      </c>
      <c r="G125" s="57">
        <f t="shared" si="8"/>
        <v>63000</v>
      </c>
      <c r="H125" s="156"/>
    </row>
    <row r="126" spans="2:8" ht="30">
      <c r="B126" s="44">
        <f t="shared" si="9"/>
        <v>10.349999999999993</v>
      </c>
      <c r="C126" s="36" t="s">
        <v>76</v>
      </c>
      <c r="D126" s="66" t="s">
        <v>111</v>
      </c>
      <c r="E126" s="37">
        <v>6</v>
      </c>
      <c r="F126" s="39">
        <v>56500</v>
      </c>
      <c r="G126" s="57">
        <f t="shared" si="8"/>
        <v>339000</v>
      </c>
      <c r="H126" s="156"/>
    </row>
    <row r="127" spans="2:8" ht="30">
      <c r="B127" s="44">
        <f t="shared" si="9"/>
        <v>10.359999999999992</v>
      </c>
      <c r="C127" s="36" t="s">
        <v>77</v>
      </c>
      <c r="D127" s="66" t="s">
        <v>7</v>
      </c>
      <c r="E127" s="37">
        <v>100</v>
      </c>
      <c r="F127" s="39">
        <v>22500</v>
      </c>
      <c r="G127" s="57">
        <f t="shared" si="8"/>
        <v>2250000</v>
      </c>
      <c r="H127" s="156"/>
    </row>
    <row r="128" spans="2:8" ht="15">
      <c r="B128" s="44">
        <f t="shared" si="9"/>
        <v>10.369999999999992</v>
      </c>
      <c r="C128" s="36" t="s">
        <v>78</v>
      </c>
      <c r="D128" s="66" t="s">
        <v>111</v>
      </c>
      <c r="E128" s="37">
        <v>6</v>
      </c>
      <c r="F128" s="39">
        <v>135000</v>
      </c>
      <c r="G128" s="57">
        <f t="shared" si="8"/>
        <v>810000</v>
      </c>
      <c r="H128" s="156"/>
    </row>
    <row r="129" spans="2:8" ht="15">
      <c r="B129" s="44">
        <f t="shared" si="9"/>
        <v>10.379999999999992</v>
      </c>
      <c r="C129" s="36" t="s">
        <v>79</v>
      </c>
      <c r="D129" s="66" t="s">
        <v>111</v>
      </c>
      <c r="E129" s="37">
        <v>6</v>
      </c>
      <c r="F129" s="39">
        <v>45000</v>
      </c>
      <c r="G129" s="57">
        <f t="shared" si="8"/>
        <v>270000</v>
      </c>
      <c r="H129" s="156"/>
    </row>
    <row r="130" spans="2:8" s="2" customFormat="1" ht="15">
      <c r="B130" s="44">
        <f t="shared" si="9"/>
        <v>10.389999999999992</v>
      </c>
      <c r="C130" s="36" t="s">
        <v>80</v>
      </c>
      <c r="D130" s="66" t="s">
        <v>111</v>
      </c>
      <c r="E130" s="37">
        <v>6</v>
      </c>
      <c r="F130" s="39">
        <v>65000</v>
      </c>
      <c r="G130" s="57">
        <f t="shared" si="8"/>
        <v>390000</v>
      </c>
      <c r="H130" s="156"/>
    </row>
    <row r="131" spans="2:8" s="2" customFormat="1" ht="15.75">
      <c r="B131" s="40">
        <f>SUM(B88+1)</f>
        <v>11</v>
      </c>
      <c r="C131" s="63" t="s">
        <v>213</v>
      </c>
      <c r="D131" s="38"/>
      <c r="E131" s="37"/>
      <c r="F131" s="39"/>
      <c r="G131" s="57"/>
      <c r="H131" s="154">
        <f>SUM(G132:G144)</f>
        <v>12130558.23</v>
      </c>
    </row>
    <row r="132" spans="2:8" ht="15">
      <c r="B132" s="67">
        <f>SUM(B131+0.01)</f>
        <v>11.01</v>
      </c>
      <c r="C132" s="36" t="s">
        <v>122</v>
      </c>
      <c r="D132" s="62" t="s">
        <v>111</v>
      </c>
      <c r="E132" s="37">
        <v>38</v>
      </c>
      <c r="F132" s="39">
        <v>42203</v>
      </c>
      <c r="G132" s="57">
        <v>1603718</v>
      </c>
      <c r="H132" s="156"/>
    </row>
    <row r="133" spans="2:8" ht="15">
      <c r="B133" s="44">
        <f t="shared" ref="B133:B144" si="10">SUM(B132+0.01)</f>
        <v>11.02</v>
      </c>
      <c r="C133" s="36" t="s">
        <v>109</v>
      </c>
      <c r="D133" s="62" t="s">
        <v>7</v>
      </c>
      <c r="E133" s="201">
        <v>85.01</v>
      </c>
      <c r="F133" s="39">
        <v>11009</v>
      </c>
      <c r="G133" s="57">
        <f>SUM(E133*F133)</f>
        <v>935875.09000000008</v>
      </c>
      <c r="H133" s="156"/>
    </row>
    <row r="134" spans="2:8" ht="15">
      <c r="B134" s="44">
        <f t="shared" si="10"/>
        <v>11.03</v>
      </c>
      <c r="C134" s="36" t="s">
        <v>110</v>
      </c>
      <c r="D134" s="62" t="s">
        <v>111</v>
      </c>
      <c r="E134" s="37">
        <v>10</v>
      </c>
      <c r="F134" s="39">
        <v>27498</v>
      </c>
      <c r="G134" s="57">
        <v>274980</v>
      </c>
      <c r="H134" s="156"/>
    </row>
    <row r="135" spans="2:8" ht="15">
      <c r="B135" s="44">
        <f t="shared" si="10"/>
        <v>11.04</v>
      </c>
      <c r="C135" s="36" t="s">
        <v>112</v>
      </c>
      <c r="D135" s="62" t="s">
        <v>111</v>
      </c>
      <c r="E135" s="37">
        <v>10</v>
      </c>
      <c r="F135" s="39">
        <v>57965</v>
      </c>
      <c r="G135" s="57">
        <v>579650</v>
      </c>
      <c r="H135" s="156"/>
    </row>
    <row r="136" spans="2:8" ht="15">
      <c r="B136" s="44">
        <f t="shared" si="10"/>
        <v>11.049999999999999</v>
      </c>
      <c r="C136" s="36" t="s">
        <v>113</v>
      </c>
      <c r="D136" s="62" t="s">
        <v>111</v>
      </c>
      <c r="E136" s="37">
        <v>6</v>
      </c>
      <c r="F136" s="39">
        <v>75013</v>
      </c>
      <c r="G136" s="57">
        <v>450078</v>
      </c>
      <c r="H136" s="156"/>
    </row>
    <row r="137" spans="2:8" ht="15">
      <c r="B137" s="44">
        <f t="shared" si="10"/>
        <v>11.059999999999999</v>
      </c>
      <c r="C137" s="36" t="s">
        <v>114</v>
      </c>
      <c r="D137" s="62" t="s">
        <v>7</v>
      </c>
      <c r="E137" s="37">
        <v>40</v>
      </c>
      <c r="F137" s="39">
        <v>15400</v>
      </c>
      <c r="G137" s="57">
        <v>615960</v>
      </c>
      <c r="H137" s="156"/>
    </row>
    <row r="138" spans="2:8" ht="15">
      <c r="B138" s="44">
        <f t="shared" si="10"/>
        <v>11.069999999999999</v>
      </c>
      <c r="C138" s="36" t="s">
        <v>115</v>
      </c>
      <c r="D138" s="62" t="s">
        <v>7</v>
      </c>
      <c r="E138" s="37">
        <v>30</v>
      </c>
      <c r="F138" s="39">
        <v>26398</v>
      </c>
      <c r="G138" s="57">
        <v>791940</v>
      </c>
      <c r="H138" s="156"/>
    </row>
    <row r="139" spans="2:8" ht="15">
      <c r="B139" s="44">
        <f t="shared" si="10"/>
        <v>11.079999999999998</v>
      </c>
      <c r="C139" s="36" t="s">
        <v>116</v>
      </c>
      <c r="D139" s="62" t="s">
        <v>7</v>
      </c>
      <c r="E139" s="201">
        <f>20+(20.14*3)</f>
        <v>80.42</v>
      </c>
      <c r="F139" s="39">
        <v>30797</v>
      </c>
      <c r="G139" s="57">
        <f>SUM(E139*F139)</f>
        <v>2476694.7400000002</v>
      </c>
      <c r="H139" s="156"/>
    </row>
    <row r="140" spans="2:8" ht="15">
      <c r="B140" s="44">
        <f t="shared" si="10"/>
        <v>11.089999999999998</v>
      </c>
      <c r="C140" s="36" t="s">
        <v>117</v>
      </c>
      <c r="D140" s="62" t="s">
        <v>7</v>
      </c>
      <c r="E140" s="37">
        <v>25</v>
      </c>
      <c r="F140" s="39">
        <v>34097</v>
      </c>
      <c r="G140" s="57">
        <v>852425</v>
      </c>
      <c r="H140" s="156"/>
    </row>
    <row r="141" spans="2:8" ht="15">
      <c r="B141" s="44">
        <f t="shared" si="10"/>
        <v>11.099999999999998</v>
      </c>
      <c r="C141" s="36" t="s">
        <v>118</v>
      </c>
      <c r="D141" s="62" t="s">
        <v>7</v>
      </c>
      <c r="E141" s="37">
        <v>30</v>
      </c>
      <c r="F141" s="39">
        <v>43996</v>
      </c>
      <c r="G141" s="57">
        <v>1319880</v>
      </c>
      <c r="H141" s="156"/>
    </row>
    <row r="142" spans="2:8" ht="15">
      <c r="B142" s="44">
        <f t="shared" si="10"/>
        <v>11.109999999999998</v>
      </c>
      <c r="C142" s="36" t="s">
        <v>119</v>
      </c>
      <c r="D142" s="62" t="s">
        <v>7</v>
      </c>
      <c r="E142" s="202">
        <v>48.87</v>
      </c>
      <c r="F142" s="206">
        <v>10200</v>
      </c>
      <c r="G142" s="57">
        <f>SUM(E142*F142)</f>
        <v>498474</v>
      </c>
      <c r="H142" s="156"/>
    </row>
    <row r="143" spans="2:8" ht="15">
      <c r="B143" s="44">
        <f t="shared" si="10"/>
        <v>11.119999999999997</v>
      </c>
      <c r="C143" s="36" t="s">
        <v>120</v>
      </c>
      <c r="D143" s="62" t="s">
        <v>7</v>
      </c>
      <c r="E143" s="37">
        <v>122.17</v>
      </c>
      <c r="F143" s="39">
        <v>6216</v>
      </c>
      <c r="G143" s="57">
        <v>759409</v>
      </c>
      <c r="H143" s="156"/>
    </row>
    <row r="144" spans="2:8" ht="15">
      <c r="B144" s="44">
        <f t="shared" si="10"/>
        <v>11.129999999999997</v>
      </c>
      <c r="C144" s="36" t="s">
        <v>121</v>
      </c>
      <c r="D144" s="62" t="s">
        <v>7</v>
      </c>
      <c r="E144" s="37">
        <f>SUM(15.6*3)</f>
        <v>46.8</v>
      </c>
      <c r="F144" s="39">
        <v>20758</v>
      </c>
      <c r="G144" s="203">
        <f>+F144*E144</f>
        <v>971474.39999999991</v>
      </c>
      <c r="H144" s="156"/>
    </row>
    <row r="145" spans="2:8" ht="31.5">
      <c r="B145" s="40">
        <v>12</v>
      </c>
      <c r="C145" s="63" t="s">
        <v>214</v>
      </c>
      <c r="D145" s="62"/>
      <c r="E145" s="37"/>
      <c r="F145" s="39"/>
      <c r="G145" s="57">
        <v>50764927.28616</v>
      </c>
      <c r="H145" s="168">
        <v>50764927.28616</v>
      </c>
    </row>
    <row r="146" spans="2:8" ht="15.75">
      <c r="B146" s="40">
        <f>SUM(B145+1)</f>
        <v>13</v>
      </c>
      <c r="C146" s="68" t="s">
        <v>105</v>
      </c>
      <c r="D146" s="38"/>
      <c r="E146" s="37"/>
      <c r="F146" s="69"/>
      <c r="G146" s="57"/>
      <c r="H146" s="168">
        <f>SUM(G147)</f>
        <v>869665.7600361919</v>
      </c>
    </row>
    <row r="147" spans="2:8" ht="15">
      <c r="B147" s="67">
        <f>SUM(B146+0.01)</f>
        <v>13.01</v>
      </c>
      <c r="C147" s="70" t="s">
        <v>108</v>
      </c>
      <c r="D147" s="38" t="s">
        <v>6</v>
      </c>
      <c r="E147" s="44">
        <v>40.867751881399997</v>
      </c>
      <c r="F147" s="69">
        <v>21280</v>
      </c>
      <c r="G147" s="57">
        <f>SUM(E147*F147)</f>
        <v>869665.7600361919</v>
      </c>
      <c r="H147" s="156"/>
    </row>
    <row r="148" spans="2:8" ht="31.5">
      <c r="B148" s="40">
        <f>SUM(B146+1)</f>
        <v>14</v>
      </c>
      <c r="C148" s="63" t="s">
        <v>91</v>
      </c>
      <c r="D148" s="38"/>
      <c r="E148" s="37"/>
      <c r="F148" s="39"/>
      <c r="G148" s="57"/>
      <c r="H148" s="168">
        <f>SUM(G149:G151)</f>
        <v>81571055</v>
      </c>
    </row>
    <row r="149" spans="2:8" ht="30">
      <c r="B149" s="67">
        <f>SUM(B148+0.01)</f>
        <v>14.01</v>
      </c>
      <c r="C149" s="71" t="s">
        <v>181</v>
      </c>
      <c r="D149" s="62" t="s">
        <v>7</v>
      </c>
      <c r="E149" s="37">
        <v>465</v>
      </c>
      <c r="F149" s="72">
        <v>11287</v>
      </c>
      <c r="G149" s="57">
        <f>SUM(E149*F149)</f>
        <v>5248455</v>
      </c>
      <c r="H149" s="156"/>
    </row>
    <row r="150" spans="2:8" ht="30">
      <c r="B150" s="67">
        <f>SUM(B149+0.01)</f>
        <v>14.02</v>
      </c>
      <c r="C150" s="71" t="s">
        <v>180</v>
      </c>
      <c r="D150" s="62" t="s">
        <v>7</v>
      </c>
      <c r="E150" s="37">
        <f>SUM(1021*3)</f>
        <v>3063</v>
      </c>
      <c r="F150" s="207">
        <v>10200</v>
      </c>
      <c r="G150" s="57">
        <f>SUM(E150*F150)</f>
        <v>31242600</v>
      </c>
      <c r="H150" s="156"/>
    </row>
    <row r="151" spans="2:8" ht="30">
      <c r="B151" s="67">
        <f>SUM(B150+0.01)</f>
        <v>14.03</v>
      </c>
      <c r="C151" s="71" t="s">
        <v>179</v>
      </c>
      <c r="D151" s="62" t="s">
        <v>111</v>
      </c>
      <c r="E151" s="37">
        <v>98</v>
      </c>
      <c r="F151" s="72">
        <v>460000</v>
      </c>
      <c r="G151" s="73">
        <f>SUM(E151*F151)</f>
        <v>45080000</v>
      </c>
      <c r="H151" s="157"/>
    </row>
    <row r="152" spans="2:8" ht="46.15" customHeight="1">
      <c r="B152" s="67"/>
      <c r="C152" s="63" t="s">
        <v>216</v>
      </c>
      <c r="D152" s="62"/>
      <c r="E152" s="37"/>
      <c r="F152" s="72"/>
      <c r="G152" s="73"/>
      <c r="H152" s="168">
        <f>SUM(G153:G162)</f>
        <v>99377200</v>
      </c>
    </row>
    <row r="153" spans="2:8" ht="15">
      <c r="B153" s="67">
        <f>SUM(B151+0.01)</f>
        <v>14.04</v>
      </c>
      <c r="C153" s="71" t="s">
        <v>200</v>
      </c>
      <c r="D153" s="62" t="s">
        <v>7</v>
      </c>
      <c r="E153" s="37">
        <v>1000</v>
      </c>
      <c r="F153" s="72">
        <v>8550</v>
      </c>
      <c r="G153" s="73">
        <f>SUM(E153*F153)</f>
        <v>8550000</v>
      </c>
      <c r="H153" s="157"/>
    </row>
    <row r="154" spans="2:8" ht="15">
      <c r="B154" s="67">
        <f>SUM(B153+0.01)</f>
        <v>14.049999999999999</v>
      </c>
      <c r="C154" s="71" t="s">
        <v>205</v>
      </c>
      <c r="D154" s="62" t="s">
        <v>111</v>
      </c>
      <c r="E154" s="37">
        <v>8</v>
      </c>
      <c r="F154" s="72">
        <v>56000</v>
      </c>
      <c r="G154" s="73">
        <f t="shared" ref="G154:G162" si="11">SUM(E154*F154)</f>
        <v>448000</v>
      </c>
      <c r="H154" s="157"/>
    </row>
    <row r="155" spans="2:8" ht="15">
      <c r="B155" s="67">
        <f t="shared" ref="B155:B162" si="12">SUM(B154+0.01)</f>
        <v>14.059999999999999</v>
      </c>
      <c r="C155" s="71" t="s">
        <v>206</v>
      </c>
      <c r="D155" s="62" t="s">
        <v>111</v>
      </c>
      <c r="E155" s="37">
        <v>16</v>
      </c>
      <c r="F155" s="72">
        <v>11200</v>
      </c>
      <c r="G155" s="73">
        <f t="shared" si="11"/>
        <v>179200</v>
      </c>
      <c r="H155" s="157"/>
    </row>
    <row r="156" spans="2:8" ht="15">
      <c r="B156" s="67">
        <f t="shared" si="12"/>
        <v>14.069999999999999</v>
      </c>
      <c r="C156" s="71" t="s">
        <v>207</v>
      </c>
      <c r="D156" s="62" t="s">
        <v>111</v>
      </c>
      <c r="E156" s="37">
        <v>2</v>
      </c>
      <c r="F156" s="72">
        <v>720000</v>
      </c>
      <c r="G156" s="73">
        <f t="shared" si="11"/>
        <v>1440000</v>
      </c>
      <c r="H156" s="157"/>
    </row>
    <row r="157" spans="2:8" ht="15">
      <c r="B157" s="67">
        <f t="shared" si="12"/>
        <v>14.079999999999998</v>
      </c>
      <c r="C157" s="71" t="s">
        <v>208</v>
      </c>
      <c r="D157" s="62" t="s">
        <v>111</v>
      </c>
      <c r="E157" s="37">
        <v>25</v>
      </c>
      <c r="F157" s="72">
        <v>200000</v>
      </c>
      <c r="G157" s="73">
        <f t="shared" si="11"/>
        <v>5000000</v>
      </c>
      <c r="H157" s="157"/>
    </row>
    <row r="158" spans="2:8" ht="15">
      <c r="B158" s="67">
        <f t="shared" si="12"/>
        <v>14.089999999999998</v>
      </c>
      <c r="C158" s="71" t="s">
        <v>209</v>
      </c>
      <c r="D158" s="62" t="s">
        <v>111</v>
      </c>
      <c r="E158" s="37">
        <v>4</v>
      </c>
      <c r="F158" s="72">
        <v>570000</v>
      </c>
      <c r="G158" s="73">
        <f t="shared" si="11"/>
        <v>2280000</v>
      </c>
      <c r="H158" s="157"/>
    </row>
    <row r="159" spans="2:8" ht="15">
      <c r="B159" s="67">
        <f t="shared" si="12"/>
        <v>14.099999999999998</v>
      </c>
      <c r="C159" s="71" t="s">
        <v>201</v>
      </c>
      <c r="D159" s="62" t="s">
        <v>7</v>
      </c>
      <c r="E159" s="37">
        <v>720</v>
      </c>
      <c r="F159" s="72">
        <v>70000</v>
      </c>
      <c r="G159" s="73">
        <f t="shared" si="11"/>
        <v>50400000</v>
      </c>
      <c r="H159" s="157"/>
    </row>
    <row r="160" spans="2:8" ht="15">
      <c r="B160" s="67">
        <f t="shared" si="12"/>
        <v>14.109999999999998</v>
      </c>
      <c r="C160" s="71" t="s">
        <v>202</v>
      </c>
      <c r="D160" s="62" t="s">
        <v>7</v>
      </c>
      <c r="E160" s="37">
        <v>180</v>
      </c>
      <c r="F160" s="72">
        <v>102000</v>
      </c>
      <c r="G160" s="73">
        <f t="shared" si="11"/>
        <v>18360000</v>
      </c>
      <c r="H160" s="157"/>
    </row>
    <row r="161" spans="2:8" ht="15">
      <c r="B161" s="67">
        <f t="shared" si="12"/>
        <v>14.119999999999997</v>
      </c>
      <c r="C161" s="71" t="s">
        <v>203</v>
      </c>
      <c r="D161" s="62" t="s">
        <v>111</v>
      </c>
      <c r="E161" s="37">
        <v>144</v>
      </c>
      <c r="F161" s="72">
        <v>30000</v>
      </c>
      <c r="G161" s="73">
        <f t="shared" si="11"/>
        <v>4320000</v>
      </c>
      <c r="H161" s="157"/>
    </row>
    <row r="162" spans="2:8" ht="15">
      <c r="B162" s="67">
        <f t="shared" si="12"/>
        <v>14.129999999999997</v>
      </c>
      <c r="C162" s="71" t="s">
        <v>204</v>
      </c>
      <c r="D162" s="62" t="s">
        <v>7</v>
      </c>
      <c r="E162" s="37">
        <v>40</v>
      </c>
      <c r="F162" s="72">
        <v>210000</v>
      </c>
      <c r="G162" s="73">
        <f t="shared" si="11"/>
        <v>8400000</v>
      </c>
      <c r="H162" s="157"/>
    </row>
    <row r="163" spans="2:8" ht="15.75">
      <c r="B163" s="74"/>
      <c r="C163" s="63" t="s">
        <v>141</v>
      </c>
      <c r="D163" s="75"/>
      <c r="E163" s="37"/>
      <c r="F163" s="39"/>
      <c r="G163" s="57"/>
      <c r="H163" s="168">
        <f>SUM(G164:G166)</f>
        <v>124900248</v>
      </c>
    </row>
    <row r="164" spans="2:8" ht="30">
      <c r="B164" s="76">
        <f>SUM(B162+0.01)</f>
        <v>14.139999999999997</v>
      </c>
      <c r="C164" s="77" t="s">
        <v>142</v>
      </c>
      <c r="D164" s="74" t="s">
        <v>111</v>
      </c>
      <c r="E164" s="37">
        <v>1</v>
      </c>
      <c r="F164" s="39">
        <v>20310548</v>
      </c>
      <c r="G164" s="57">
        <f>SUM(E164*F164)</f>
        <v>20310548</v>
      </c>
      <c r="H164" s="156"/>
    </row>
    <row r="165" spans="2:8" ht="30">
      <c r="B165" s="76">
        <f>SUM(B164+0.01)</f>
        <v>14.149999999999997</v>
      </c>
      <c r="C165" s="77" t="s">
        <v>143</v>
      </c>
      <c r="D165" s="74" t="s">
        <v>111</v>
      </c>
      <c r="E165" s="37">
        <v>1</v>
      </c>
      <c r="F165" s="39">
        <v>3354231</v>
      </c>
      <c r="G165" s="57">
        <f>SUM(E165*F165)</f>
        <v>3354231</v>
      </c>
      <c r="H165" s="156"/>
    </row>
    <row r="166" spans="2:8" ht="75">
      <c r="B166" s="76">
        <f>SUM(B165+0.01)</f>
        <v>14.159999999999997</v>
      </c>
      <c r="C166" s="77" t="s">
        <v>144</v>
      </c>
      <c r="D166" s="74" t="s">
        <v>111</v>
      </c>
      <c r="E166" s="37">
        <v>1</v>
      </c>
      <c r="F166" s="78">
        <v>101235469</v>
      </c>
      <c r="G166" s="79">
        <f>SUM(E166*F166)</f>
        <v>101235469</v>
      </c>
      <c r="H166" s="156"/>
    </row>
    <row r="167" spans="2:8" ht="15.75">
      <c r="B167" s="74"/>
      <c r="C167" s="63" t="s">
        <v>199</v>
      </c>
      <c r="D167" s="75"/>
      <c r="E167" s="37"/>
      <c r="F167" s="39"/>
      <c r="G167" s="57">
        <v>14295052.695</v>
      </c>
      <c r="H167" s="156">
        <v>14295052.695</v>
      </c>
    </row>
    <row r="168" spans="2:8" s="133" customFormat="1" ht="15.75">
      <c r="B168" s="127">
        <f>SUM(B148+1)</f>
        <v>15</v>
      </c>
      <c r="C168" s="128" t="s">
        <v>150</v>
      </c>
      <c r="D168" s="129"/>
      <c r="E168" s="130"/>
      <c r="F168" s="131"/>
      <c r="G168" s="132"/>
      <c r="H168" s="168">
        <f>SUM(G169)</f>
        <v>6983112.4000000004</v>
      </c>
    </row>
    <row r="169" spans="2:8" ht="150">
      <c r="B169" s="76">
        <f>SUM(B168+0.01)</f>
        <v>15.01</v>
      </c>
      <c r="C169" s="80" t="s">
        <v>151</v>
      </c>
      <c r="D169" s="74" t="s">
        <v>6</v>
      </c>
      <c r="E169" s="37">
        <f>SUM((2.78+1.21+(0.35*2))*2)+((3.73+(1.47*3))*2)</f>
        <v>25.66</v>
      </c>
      <c r="F169" s="39">
        <v>272140</v>
      </c>
      <c r="G169" s="79">
        <f t="shared" ref="G169:G181" si="13">+F169*E169</f>
        <v>6983112.4000000004</v>
      </c>
      <c r="H169" s="156"/>
    </row>
    <row r="170" spans="2:8" ht="15.75">
      <c r="B170" s="40">
        <f>SUM(B168+1)</f>
        <v>16</v>
      </c>
      <c r="C170" s="63" t="s">
        <v>160</v>
      </c>
      <c r="D170" s="47" t="s">
        <v>152</v>
      </c>
      <c r="E170" s="37"/>
      <c r="F170" s="48"/>
      <c r="G170" s="48"/>
      <c r="H170" s="168">
        <f>SUM(G171:G178)</f>
        <v>20077047</v>
      </c>
    </row>
    <row r="171" spans="2:8" ht="15">
      <c r="B171" s="76">
        <f>SUM(B170+0.01)</f>
        <v>16.010000000000002</v>
      </c>
      <c r="C171" s="80" t="s">
        <v>153</v>
      </c>
      <c r="D171" s="74" t="s">
        <v>111</v>
      </c>
      <c r="E171" s="37">
        <f>SUM(3+1+3+2+3+1)</f>
        <v>13</v>
      </c>
      <c r="F171" s="39">
        <v>198707</v>
      </c>
      <c r="G171" s="79">
        <f t="shared" si="13"/>
        <v>2583191</v>
      </c>
      <c r="H171" s="156"/>
    </row>
    <row r="172" spans="2:8" ht="30">
      <c r="B172" s="76">
        <f t="shared" ref="B172:B181" si="14">SUM(B171+0.01)</f>
        <v>16.020000000000003</v>
      </c>
      <c r="C172" s="80" t="s">
        <v>154</v>
      </c>
      <c r="D172" s="74" t="s">
        <v>111</v>
      </c>
      <c r="E172" s="37">
        <f>SUM(2+3+2+3+1)</f>
        <v>11</v>
      </c>
      <c r="F172" s="39">
        <v>476154</v>
      </c>
      <c r="G172" s="79">
        <f t="shared" si="13"/>
        <v>5237694</v>
      </c>
      <c r="H172" s="156"/>
    </row>
    <row r="173" spans="2:8" ht="30">
      <c r="B173" s="76">
        <f t="shared" si="14"/>
        <v>16.030000000000005</v>
      </c>
      <c r="C173" s="80" t="s">
        <v>155</v>
      </c>
      <c r="D173" s="74" t="s">
        <v>111</v>
      </c>
      <c r="E173" s="37">
        <v>2</v>
      </c>
      <c r="F173" s="39">
        <v>550318</v>
      </c>
      <c r="G173" s="79">
        <f t="shared" si="13"/>
        <v>1100636</v>
      </c>
      <c r="H173" s="156"/>
    </row>
    <row r="174" spans="2:8" ht="45">
      <c r="B174" s="76">
        <f t="shared" si="14"/>
        <v>16.040000000000006</v>
      </c>
      <c r="C174" s="80" t="s">
        <v>156</v>
      </c>
      <c r="D174" s="74" t="s">
        <v>111</v>
      </c>
      <c r="E174" s="37">
        <f>SUM(3+2+3+2+3+1)</f>
        <v>14</v>
      </c>
      <c r="F174" s="39">
        <v>306807</v>
      </c>
      <c r="G174" s="79">
        <f t="shared" si="13"/>
        <v>4295298</v>
      </c>
      <c r="H174" s="156"/>
    </row>
    <row r="175" spans="2:8" ht="45">
      <c r="B175" s="76">
        <f t="shared" si="14"/>
        <v>16.050000000000008</v>
      </c>
      <c r="C175" s="80" t="s">
        <v>157</v>
      </c>
      <c r="D175" s="74" t="s">
        <v>111</v>
      </c>
      <c r="E175" s="37">
        <v>2</v>
      </c>
      <c r="F175" s="39">
        <v>366018</v>
      </c>
      <c r="G175" s="79">
        <f t="shared" si="13"/>
        <v>732036</v>
      </c>
      <c r="H175" s="156"/>
    </row>
    <row r="176" spans="2:8" ht="15">
      <c r="B176" s="76">
        <f t="shared" si="14"/>
        <v>16.060000000000009</v>
      </c>
      <c r="C176" s="80" t="s">
        <v>158</v>
      </c>
      <c r="D176" s="74" t="s">
        <v>111</v>
      </c>
      <c r="E176" s="37">
        <v>1</v>
      </c>
      <c r="F176" s="39">
        <v>317522</v>
      </c>
      <c r="G176" s="79">
        <f t="shared" si="13"/>
        <v>317522</v>
      </c>
      <c r="H176" s="156"/>
    </row>
    <row r="177" spans="2:11" ht="15">
      <c r="B177" s="76">
        <f t="shared" si="14"/>
        <v>16.070000000000011</v>
      </c>
      <c r="C177" s="80" t="s">
        <v>159</v>
      </c>
      <c r="D177" s="74" t="s">
        <v>111</v>
      </c>
      <c r="E177" s="37">
        <f>SUM(1+1+3+2+3+1)</f>
        <v>11</v>
      </c>
      <c r="F177" s="39">
        <v>451525</v>
      </c>
      <c r="G177" s="79">
        <f t="shared" si="13"/>
        <v>4966775</v>
      </c>
      <c r="H177" s="156"/>
    </row>
    <row r="178" spans="2:11" ht="15">
      <c r="B178" s="76">
        <f t="shared" si="14"/>
        <v>16.080000000000013</v>
      </c>
      <c r="C178" s="80" t="s">
        <v>161</v>
      </c>
      <c r="D178" s="74" t="s">
        <v>6</v>
      </c>
      <c r="E178" s="37">
        <v>13</v>
      </c>
      <c r="F178" s="39">
        <v>64915</v>
      </c>
      <c r="G178" s="79">
        <f t="shared" si="13"/>
        <v>843895</v>
      </c>
      <c r="H178" s="156"/>
    </row>
    <row r="179" spans="2:11" ht="15.75">
      <c r="B179" s="76"/>
      <c r="C179" s="81" t="s">
        <v>162</v>
      </c>
      <c r="D179" s="74"/>
      <c r="E179" s="37"/>
      <c r="F179" s="39"/>
      <c r="G179" s="79"/>
      <c r="H179" s="168">
        <f>SUM(G180:G181)</f>
        <v>1484035.16</v>
      </c>
    </row>
    <row r="180" spans="2:11" ht="30">
      <c r="B180" s="76">
        <f>SUM(B178+0.01)</f>
        <v>16.090000000000014</v>
      </c>
      <c r="C180" s="80" t="s">
        <v>163</v>
      </c>
      <c r="D180" s="74" t="s">
        <v>7</v>
      </c>
      <c r="E180" s="37">
        <f>SUM(2.57+1.45+3.5+2.8)</f>
        <v>10.32</v>
      </c>
      <c r="F180" s="39">
        <v>110063</v>
      </c>
      <c r="G180" s="79">
        <f t="shared" si="13"/>
        <v>1135850.1599999999</v>
      </c>
      <c r="H180" s="156"/>
    </row>
    <row r="181" spans="2:11" ht="45">
      <c r="B181" s="76">
        <f t="shared" si="14"/>
        <v>16.100000000000016</v>
      </c>
      <c r="C181" s="80" t="s">
        <v>164</v>
      </c>
      <c r="D181" s="74" t="s">
        <v>7</v>
      </c>
      <c r="E181" s="37">
        <v>5</v>
      </c>
      <c r="F181" s="39">
        <v>69637</v>
      </c>
      <c r="G181" s="79">
        <f t="shared" si="13"/>
        <v>348185</v>
      </c>
      <c r="H181" s="156"/>
    </row>
    <row r="182" spans="2:11" ht="15.75">
      <c r="B182" s="40">
        <f>SUM(B170+1)</f>
        <v>17</v>
      </c>
      <c r="C182" s="63" t="s">
        <v>124</v>
      </c>
      <c r="D182" s="42"/>
      <c r="E182" s="37"/>
      <c r="F182" s="82"/>
      <c r="G182" s="83"/>
      <c r="H182" s="168">
        <f>SUM(G183)</f>
        <v>779416</v>
      </c>
    </row>
    <row r="183" spans="2:11" ht="30">
      <c r="B183" s="67">
        <f>SUM(B182+0.01)</f>
        <v>17.010000000000002</v>
      </c>
      <c r="C183" s="71" t="s">
        <v>123</v>
      </c>
      <c r="D183" s="62" t="s">
        <v>6</v>
      </c>
      <c r="E183" s="37">
        <v>22</v>
      </c>
      <c r="F183" s="39">
        <v>35428</v>
      </c>
      <c r="G183" s="57">
        <f>SUM(E183*F183)</f>
        <v>779416</v>
      </c>
      <c r="H183" s="156"/>
    </row>
    <row r="184" spans="2:11" ht="15.75">
      <c r="B184" s="84">
        <f>SUM(B182+1)</f>
        <v>18</v>
      </c>
      <c r="C184" s="32" t="s">
        <v>145</v>
      </c>
      <c r="D184" s="85"/>
      <c r="E184" s="37"/>
      <c r="F184" s="39"/>
      <c r="G184" s="86"/>
      <c r="H184" s="168">
        <f>SUM(G185)</f>
        <v>81174986</v>
      </c>
    </row>
    <row r="185" spans="2:11" ht="75">
      <c r="B185" s="58">
        <f>SUM(B184+0.01)</f>
        <v>18.010000000000002</v>
      </c>
      <c r="C185" s="87" t="s">
        <v>146</v>
      </c>
      <c r="D185" s="59" t="s">
        <v>6</v>
      </c>
      <c r="E185" s="37">
        <f>SUM(413+337+337)</f>
        <v>1087</v>
      </c>
      <c r="F185" s="206">
        <v>74678</v>
      </c>
      <c r="G185" s="57">
        <f>SUM(E185*F185)</f>
        <v>81174986</v>
      </c>
      <c r="H185" s="156"/>
    </row>
    <row r="186" spans="2:11" ht="15.75">
      <c r="B186" s="88">
        <f>SUM(B184+1)</f>
        <v>19</v>
      </c>
      <c r="C186" s="41" t="s">
        <v>148</v>
      </c>
      <c r="D186" s="82"/>
      <c r="E186" s="37"/>
      <c r="F186" s="89"/>
      <c r="G186" s="82"/>
      <c r="H186" s="168">
        <f>SUM(G187)</f>
        <v>111344509</v>
      </c>
    </row>
    <row r="187" spans="2:11" ht="15">
      <c r="B187" s="304">
        <f>SUM(B186+0.01)</f>
        <v>19.010000000000002</v>
      </c>
      <c r="C187" s="306" t="s">
        <v>210</v>
      </c>
      <c r="D187" s="308" t="s">
        <v>111</v>
      </c>
      <c r="E187" s="310">
        <v>1</v>
      </c>
      <c r="F187" s="313">
        <v>111344509</v>
      </c>
      <c r="G187" s="315">
        <f>SUM(E187*F187)</f>
        <v>111344509</v>
      </c>
      <c r="H187" s="158"/>
      <c r="I187" s="8"/>
    </row>
    <row r="188" spans="2:11" ht="15">
      <c r="B188" s="305"/>
      <c r="C188" s="307"/>
      <c r="D188" s="309"/>
      <c r="E188" s="311"/>
      <c r="F188" s="314"/>
      <c r="G188" s="316"/>
      <c r="H188" s="158"/>
    </row>
    <row r="189" spans="2:11" ht="15">
      <c r="B189" s="305"/>
      <c r="C189" s="307"/>
      <c r="D189" s="309"/>
      <c r="E189" s="311"/>
      <c r="F189" s="314"/>
      <c r="G189" s="316"/>
      <c r="H189" s="158"/>
    </row>
    <row r="190" spans="2:11" ht="409.15" customHeight="1">
      <c r="B190" s="305"/>
      <c r="C190" s="307"/>
      <c r="D190" s="309"/>
      <c r="E190" s="311"/>
      <c r="F190" s="314"/>
      <c r="G190" s="316"/>
      <c r="H190" s="158"/>
      <c r="K190" s="148"/>
    </row>
    <row r="191" spans="2:11" ht="408.6" customHeight="1">
      <c r="B191" s="305"/>
      <c r="C191" s="307"/>
      <c r="D191" s="309"/>
      <c r="E191" s="311"/>
      <c r="F191" s="314"/>
      <c r="G191" s="316"/>
      <c r="H191" s="158"/>
    </row>
    <row r="192" spans="2:11" ht="76.5" customHeight="1">
      <c r="B192" s="305"/>
      <c r="C192" s="307"/>
      <c r="D192" s="309"/>
      <c r="E192" s="312"/>
      <c r="F192" s="314"/>
      <c r="G192" s="316"/>
      <c r="H192" s="158"/>
    </row>
    <row r="193" spans="2:14" ht="15.75">
      <c r="B193" s="90">
        <f>SUM(B186+1)</f>
        <v>20</v>
      </c>
      <c r="C193" s="91" t="s">
        <v>173</v>
      </c>
      <c r="D193" s="92"/>
      <c r="E193" s="37"/>
      <c r="F193" s="93"/>
      <c r="G193" s="94"/>
      <c r="H193" s="170"/>
    </row>
    <row r="194" spans="2:14" ht="15.75">
      <c r="B194" s="76"/>
      <c r="C194" s="81" t="s">
        <v>169</v>
      </c>
      <c r="D194" s="74"/>
      <c r="E194" s="37"/>
      <c r="F194" s="39"/>
      <c r="G194" s="79"/>
      <c r="H194" s="168">
        <f>SUM(G195)</f>
        <v>21538532.699999999</v>
      </c>
    </row>
    <row r="195" spans="2:14" ht="15">
      <c r="B195" s="95">
        <f>SUM(B193+0.1)</f>
        <v>20.100000000000001</v>
      </c>
      <c r="C195" s="80" t="s">
        <v>170</v>
      </c>
      <c r="D195" s="74" t="s">
        <v>6</v>
      </c>
      <c r="E195" s="44">
        <v>3923.23</v>
      </c>
      <c r="F195" s="39">
        <v>5490</v>
      </c>
      <c r="G195" s="79">
        <f>+F195*E195</f>
        <v>21538532.699999999</v>
      </c>
      <c r="H195" s="156"/>
    </row>
    <row r="196" spans="2:14" ht="15.75">
      <c r="B196" s="95"/>
      <c r="C196" s="81" t="s">
        <v>171</v>
      </c>
      <c r="D196" s="74"/>
      <c r="E196" s="37"/>
      <c r="F196" s="39"/>
      <c r="G196" s="96"/>
      <c r="H196" s="159"/>
    </row>
    <row r="197" spans="2:14" ht="60">
      <c r="B197" s="95">
        <f>SUM(B195+0.1)</f>
        <v>20.200000000000003</v>
      </c>
      <c r="C197" s="80" t="s">
        <v>217</v>
      </c>
      <c r="D197" s="74" t="s">
        <v>6</v>
      </c>
      <c r="E197" s="44">
        <f>SUM(52+44+52+28.5+18+50+44+31+29+86+122)+635+531.0238062</f>
        <v>1722.5238061999999</v>
      </c>
      <c r="F197" s="39">
        <v>12374</v>
      </c>
      <c r="G197" s="161">
        <f>SUM(E197*F197)</f>
        <v>21314509.577918798</v>
      </c>
      <c r="H197" s="168">
        <f>SUM(G197)</f>
        <v>21314509.577918798</v>
      </c>
      <c r="I197" s="189"/>
      <c r="J197" s="186"/>
      <c r="K197" s="186"/>
      <c r="L197" s="183"/>
      <c r="M197" s="187"/>
      <c r="N197" s="149"/>
    </row>
    <row r="198" spans="2:14" ht="15">
      <c r="B198" s="95">
        <f>SUM(B197+0.1)</f>
        <v>20.300000000000004</v>
      </c>
      <c r="C198" s="80" t="s">
        <v>172</v>
      </c>
      <c r="D198" s="74" t="s">
        <v>6</v>
      </c>
      <c r="E198" s="44">
        <v>3923.230845</v>
      </c>
      <c r="F198" s="39">
        <v>6500</v>
      </c>
      <c r="G198" s="79">
        <f>+F198*E198</f>
        <v>25501000.4925</v>
      </c>
      <c r="H198" s="171">
        <f>SUM(G198)</f>
        <v>25501000.4925</v>
      </c>
    </row>
    <row r="199" spans="2:14" ht="15">
      <c r="B199" s="95">
        <f>SUM(B198+0.1)</f>
        <v>20.400000000000006</v>
      </c>
      <c r="C199" s="184"/>
      <c r="D199" s="185"/>
      <c r="E199" s="44"/>
      <c r="F199" s="39"/>
      <c r="G199" s="151"/>
      <c r="H199" s="171"/>
    </row>
    <row r="200" spans="2:14" ht="31.5">
      <c r="B200" s="84">
        <f>SUM(B193+1)</f>
        <v>21</v>
      </c>
      <c r="C200" s="97" t="s">
        <v>174</v>
      </c>
      <c r="D200" s="85"/>
      <c r="E200" s="37"/>
      <c r="F200" s="39"/>
      <c r="G200" s="98"/>
      <c r="H200" s="168">
        <f>SUM(G201:G202)</f>
        <v>5512139.4000000004</v>
      </c>
    </row>
    <row r="201" spans="2:14" ht="15">
      <c r="B201" s="58">
        <f>SUM(B200+0.1)</f>
        <v>21.1</v>
      </c>
      <c r="C201" s="99" t="s">
        <v>176</v>
      </c>
      <c r="D201" s="74" t="s">
        <v>7</v>
      </c>
      <c r="E201" s="37">
        <f>SUM(10.5*3)</f>
        <v>31.5</v>
      </c>
      <c r="F201" s="39">
        <v>74010</v>
      </c>
      <c r="G201" s="79">
        <f>+F201*E201</f>
        <v>2331315</v>
      </c>
      <c r="H201" s="156"/>
    </row>
    <row r="202" spans="2:14" ht="15">
      <c r="B202" s="58">
        <f>SUM(B201+0.1)</f>
        <v>21.200000000000003</v>
      </c>
      <c r="C202" s="80" t="s">
        <v>175</v>
      </c>
      <c r="D202" s="74" t="s">
        <v>7</v>
      </c>
      <c r="E202" s="37">
        <f>SUM(7.52*3*2)+(2.75*3*2)</f>
        <v>61.62</v>
      </c>
      <c r="F202" s="39">
        <v>51620</v>
      </c>
      <c r="G202" s="79">
        <f>+F202*E202</f>
        <v>3180824.4</v>
      </c>
      <c r="H202" s="156"/>
    </row>
    <row r="203" spans="2:14" ht="15.75">
      <c r="B203" s="40">
        <f>SUM(B200+1)</f>
        <v>22</v>
      </c>
      <c r="C203" s="63" t="s">
        <v>187</v>
      </c>
      <c r="D203" s="42" t="s">
        <v>47</v>
      </c>
      <c r="E203" s="37">
        <v>1</v>
      </c>
      <c r="F203" s="39">
        <v>1668189</v>
      </c>
      <c r="G203" s="57">
        <f>SUM(E203*F203)</f>
        <v>1668189</v>
      </c>
      <c r="H203" s="168">
        <f>SUM(G203)</f>
        <v>1668189</v>
      </c>
    </row>
    <row r="204" spans="2:14" ht="15.75">
      <c r="B204" s="10"/>
      <c r="C204" s="100" t="s">
        <v>194</v>
      </c>
      <c r="D204" s="101"/>
      <c r="E204" s="101"/>
      <c r="F204" s="101"/>
      <c r="G204" s="102">
        <f>SUM(G11:G203)</f>
        <v>1278474594.2451861</v>
      </c>
      <c r="H204" s="172">
        <f>SUM(H10:H203)</f>
        <v>1279414453.2451866</v>
      </c>
    </row>
    <row r="205" spans="2:14" ht="16.5" thickBot="1">
      <c r="B205" s="10">
        <v>8</v>
      </c>
      <c r="C205" s="134" t="s">
        <v>16</v>
      </c>
      <c r="D205" s="135"/>
      <c r="E205" s="136"/>
      <c r="F205" s="104"/>
      <c r="G205" s="137">
        <f>+G204*0.25</f>
        <v>319618648.56129652</v>
      </c>
      <c r="H205" s="173">
        <f>+H204*0.25</f>
        <v>319853613.31129664</v>
      </c>
    </row>
    <row r="206" spans="2:14" ht="16.5" thickBot="1">
      <c r="B206" s="208">
        <f>SUM(F203/B205)</f>
        <v>208523.625</v>
      </c>
      <c r="C206" s="143" t="s">
        <v>17</v>
      </c>
      <c r="D206" s="144"/>
      <c r="E206" s="145"/>
      <c r="F206" s="146"/>
      <c r="G206" s="147">
        <f>+G205+G204</f>
        <v>1598093242.8064826</v>
      </c>
      <c r="H206" s="174">
        <f>+H205+H204</f>
        <v>1599268066.5564833</v>
      </c>
    </row>
    <row r="207" spans="2:14" ht="15.75">
      <c r="B207" s="10"/>
      <c r="C207" s="138" t="s">
        <v>18</v>
      </c>
      <c r="D207" s="139"/>
      <c r="E207" s="140"/>
      <c r="F207" s="141"/>
      <c r="G207" s="142">
        <f>+(G204*0.05)*0.16</f>
        <v>10227796.753961489</v>
      </c>
      <c r="H207" s="175">
        <f>+(H204*0.05)*0.16</f>
        <v>10235315.625961494</v>
      </c>
    </row>
    <row r="208" spans="2:14" ht="15.75">
      <c r="B208" s="10"/>
      <c r="C208" s="289" t="s">
        <v>183</v>
      </c>
      <c r="D208" s="290"/>
      <c r="E208" s="105"/>
      <c r="F208" s="103"/>
      <c r="G208" s="122">
        <f>G206+G207</f>
        <v>1608321039.5604441</v>
      </c>
      <c r="H208" s="176">
        <f>H206+H207</f>
        <v>1609503382.1824448</v>
      </c>
    </row>
    <row r="209" spans="2:8" ht="18">
      <c r="B209" s="18"/>
      <c r="C209" s="115" t="s">
        <v>195</v>
      </c>
      <c r="D209" s="106"/>
      <c r="E209" s="107"/>
      <c r="F209" s="106"/>
      <c r="G209" s="108"/>
      <c r="H209" s="152"/>
    </row>
    <row r="210" spans="2:8" ht="63">
      <c r="B210" s="10"/>
      <c r="C210" s="100" t="s">
        <v>184</v>
      </c>
      <c r="D210" s="101"/>
      <c r="E210" s="101"/>
      <c r="F210" s="101"/>
      <c r="G210" s="102"/>
      <c r="H210" s="177"/>
    </row>
    <row r="211" spans="2:8" ht="16.5" thickBot="1">
      <c r="B211" s="10"/>
      <c r="C211" s="291" t="s">
        <v>185</v>
      </c>
      <c r="D211" s="292"/>
      <c r="E211" s="109"/>
      <c r="F211" s="110">
        <v>9.7994252835000004E-2</v>
      </c>
      <c r="G211" s="123">
        <f>SUM(G208*F211)</f>
        <v>157606218.59053621</v>
      </c>
      <c r="H211" s="123">
        <f>SUM(H208*F211)</f>
        <v>157722081.37237415</v>
      </c>
    </row>
    <row r="212" spans="2:8" ht="18.75" thickBot="1">
      <c r="B212" s="13"/>
      <c r="C212" s="111" t="s">
        <v>186</v>
      </c>
      <c r="D212" s="112"/>
      <c r="E212" s="113"/>
      <c r="F212" s="114"/>
      <c r="G212" s="124">
        <f>SUM(G208+G211)</f>
        <v>1765927258.1509802</v>
      </c>
      <c r="H212" s="124">
        <f>SUM(H208+H211)</f>
        <v>1767225463.5548189</v>
      </c>
    </row>
    <row r="213" spans="2:8" ht="18">
      <c r="B213" s="13"/>
      <c r="C213" s="116"/>
      <c r="D213" s="117"/>
      <c r="E213" s="118"/>
      <c r="F213" s="119"/>
      <c r="G213" s="120"/>
      <c r="H213" s="160"/>
    </row>
    <row r="214" spans="2:8" ht="18">
      <c r="B214" s="13"/>
      <c r="C214" s="116"/>
      <c r="D214" s="117"/>
      <c r="E214" s="118"/>
      <c r="F214" s="119"/>
      <c r="G214" s="120"/>
      <c r="H214" s="160"/>
    </row>
    <row r="215" spans="2:8">
      <c r="B215" s="6"/>
      <c r="C215" s="2"/>
      <c r="D215" s="293" t="s">
        <v>128</v>
      </c>
      <c r="E215" s="293"/>
      <c r="F215" s="293"/>
      <c r="G215" s="294"/>
      <c r="H215" s="178"/>
    </row>
    <row r="216" spans="2:8">
      <c r="B216" s="6"/>
      <c r="C216" s="2"/>
      <c r="D216" s="293"/>
      <c r="E216" s="293"/>
      <c r="F216" s="293"/>
      <c r="G216" s="294"/>
      <c r="H216" s="178"/>
    </row>
    <row r="217" spans="2:8" ht="12">
      <c r="B217" s="6"/>
      <c r="C217" s="2"/>
      <c r="D217" s="293"/>
      <c r="E217" s="293"/>
      <c r="F217" s="293"/>
      <c r="G217" s="294"/>
      <c r="H217" s="192"/>
    </row>
    <row r="218" spans="2:8">
      <c r="B218" s="6"/>
      <c r="C218" s="11" t="s">
        <v>19</v>
      </c>
      <c r="D218" s="293"/>
      <c r="E218" s="293"/>
      <c r="F218" s="293"/>
      <c r="G218" s="294"/>
      <c r="H218" s="178"/>
    </row>
    <row r="219" spans="2:8">
      <c r="B219" s="6"/>
      <c r="C219" s="9" t="s">
        <v>20</v>
      </c>
      <c r="D219" s="2"/>
      <c r="E219" s="2"/>
      <c r="F219" s="7"/>
      <c r="G219" s="3"/>
      <c r="H219" s="179"/>
    </row>
    <row r="220" spans="2:8">
      <c r="B220" s="14"/>
      <c r="C220" s="12" t="s">
        <v>21</v>
      </c>
      <c r="D220" s="4"/>
      <c r="E220" s="4"/>
      <c r="F220" s="15"/>
      <c r="G220" s="16"/>
      <c r="H220" s="179"/>
    </row>
    <row r="222" spans="2:8">
      <c r="G222" s="17"/>
      <c r="H222" s="180"/>
    </row>
    <row r="223" spans="2:8" ht="15">
      <c r="G223" s="125"/>
      <c r="H223" s="181"/>
    </row>
  </sheetData>
  <mergeCells count="12">
    <mergeCell ref="C208:D208"/>
    <mergeCell ref="C211:D211"/>
    <mergeCell ref="D215:G218"/>
    <mergeCell ref="B6:G6"/>
    <mergeCell ref="B7:G7"/>
    <mergeCell ref="B8:G8"/>
    <mergeCell ref="B187:B192"/>
    <mergeCell ref="C187:C192"/>
    <mergeCell ref="D187:D192"/>
    <mergeCell ref="E187:E192"/>
    <mergeCell ref="F187:F192"/>
    <mergeCell ref="G187:G192"/>
  </mergeCells>
  <pageMargins left="0.59055118110236227" right="0.39370078740157483" top="0.59055118110236227" bottom="0.39370078740157483" header="0.39370078740157483" footer="0.39370078740157483"/>
  <pageSetup scale="44" orientation="portrait" r:id="rId1"/>
  <rowBreaks count="7" manualBreakCount="7">
    <brk id="41" min="1" max="7" man="1"/>
    <brk id="63" min="1" max="7" man="1"/>
    <brk id="86" min="1" max="7" man="1"/>
    <brk id="116" min="1" max="7" man="1"/>
    <brk id="149" min="1" max="7" man="1"/>
    <brk id="175" min="1" max="7" man="1"/>
    <brk id="192" min="1" max="7" man="1"/>
  </rowBreaks>
  <drawing r:id="rId2"/>
</worksheet>
</file>

<file path=xl/worksheets/sheet2.xml><?xml version="1.0" encoding="utf-8"?>
<worksheet xmlns="http://schemas.openxmlformats.org/spreadsheetml/2006/main" xmlns:r="http://schemas.openxmlformats.org/officeDocument/2006/relationships">
  <sheetPr>
    <tabColor rgb="FFFFFF00"/>
  </sheetPr>
  <dimension ref="A1:G81"/>
  <sheetViews>
    <sheetView tabSelected="1" topLeftCell="A2" zoomScaleNormal="100" workbookViewId="0">
      <selection activeCell="G11" sqref="G11:G66"/>
    </sheetView>
  </sheetViews>
  <sheetFormatPr baseColWidth="10" defaultColWidth="11.42578125" defaultRowHeight="11.25"/>
  <cols>
    <col min="1" max="2" width="11.85546875" style="5" customWidth="1"/>
    <col min="3" max="3" width="86.28515625" style="209" customWidth="1"/>
    <col min="4" max="4" width="10.28515625" style="221" bestFit="1" customWidth="1"/>
    <col min="5" max="5" width="21.5703125" style="209" bestFit="1" customWidth="1"/>
    <col min="6" max="6" width="20" style="1" bestFit="1" customWidth="1"/>
    <col min="7" max="7" width="26.5703125" style="1" customWidth="1"/>
    <col min="8" max="16384" width="11.42578125" style="1"/>
  </cols>
  <sheetData>
    <row r="1" spans="1:7" ht="23.25">
      <c r="A1" s="240"/>
      <c r="B1" s="241"/>
      <c r="C1" s="326" t="s">
        <v>321</v>
      </c>
      <c r="D1" s="326"/>
      <c r="E1" s="242"/>
      <c r="F1" s="243" t="s">
        <v>198</v>
      </c>
      <c r="G1" s="244">
        <v>41757</v>
      </c>
    </row>
    <row r="2" spans="1:7" ht="23.25">
      <c r="A2" s="245"/>
      <c r="B2" s="212"/>
      <c r="C2" s="326" t="s">
        <v>322</v>
      </c>
      <c r="D2" s="326"/>
      <c r="E2" s="23"/>
      <c r="F2" s="24"/>
      <c r="G2" s="246" t="s">
        <v>224</v>
      </c>
    </row>
    <row r="3" spans="1:7" ht="15">
      <c r="A3" s="245"/>
      <c r="B3" s="212"/>
      <c r="C3" s="23"/>
      <c r="D3" s="220"/>
      <c r="E3" s="23"/>
      <c r="F3" s="24"/>
      <c r="G3" s="247" t="s">
        <v>10</v>
      </c>
    </row>
    <row r="4" spans="1:7" ht="15">
      <c r="A4" s="245"/>
      <c r="B4" s="212"/>
      <c r="C4" s="23"/>
      <c r="D4" s="220"/>
      <c r="E4" s="23"/>
      <c r="F4" s="24"/>
      <c r="G4" s="247" t="s">
        <v>182</v>
      </c>
    </row>
    <row r="5" spans="1:7" ht="15">
      <c r="A5" s="245"/>
      <c r="B5" s="212"/>
      <c r="C5" s="23"/>
      <c r="D5" s="220"/>
      <c r="E5" s="23"/>
      <c r="F5" s="24"/>
      <c r="G5" s="247" t="s">
        <v>177</v>
      </c>
    </row>
    <row r="6" spans="1:7" ht="27.75" customHeight="1">
      <c r="A6" s="327" t="s">
        <v>323</v>
      </c>
      <c r="B6" s="328"/>
      <c r="C6" s="328"/>
      <c r="D6" s="328"/>
      <c r="E6" s="328"/>
      <c r="F6" s="328"/>
      <c r="G6" s="329"/>
    </row>
    <row r="7" spans="1:7" ht="39.75" customHeight="1">
      <c r="A7" s="330" t="s">
        <v>297</v>
      </c>
      <c r="B7" s="331"/>
      <c r="C7" s="331"/>
      <c r="D7" s="331"/>
      <c r="E7" s="331"/>
      <c r="F7" s="331"/>
      <c r="G7" s="332"/>
    </row>
    <row r="8" spans="1:7" ht="16.5" thickBot="1">
      <c r="A8" s="248"/>
      <c r="B8" s="232"/>
      <c r="C8" s="236"/>
      <c r="D8" s="232"/>
      <c r="E8" s="232"/>
      <c r="F8" s="232"/>
      <c r="G8" s="249"/>
    </row>
    <row r="9" spans="1:7" ht="15" customHeight="1" thickBot="1">
      <c r="A9" s="285" t="s">
        <v>0</v>
      </c>
      <c r="B9" s="286" t="s">
        <v>225</v>
      </c>
      <c r="C9" s="286" t="s">
        <v>1</v>
      </c>
      <c r="D9" s="286" t="s">
        <v>2</v>
      </c>
      <c r="E9" s="286" t="s">
        <v>3</v>
      </c>
      <c r="F9" s="287" t="s">
        <v>4</v>
      </c>
      <c r="G9" s="288" t="s">
        <v>85</v>
      </c>
    </row>
    <row r="10" spans="1:7" ht="15.75">
      <c r="A10" s="250">
        <v>1</v>
      </c>
      <c r="B10" s="233"/>
      <c r="C10" s="234" t="s">
        <v>14</v>
      </c>
      <c r="D10" s="235"/>
      <c r="E10" s="275"/>
      <c r="F10" s="2"/>
      <c r="G10" s="251"/>
    </row>
    <row r="11" spans="1:7" ht="120" customHeight="1">
      <c r="A11" s="252">
        <f>SUM(A10+0.01)</f>
        <v>1.01</v>
      </c>
      <c r="B11" s="216" t="s">
        <v>299</v>
      </c>
      <c r="C11" s="36" t="s">
        <v>303</v>
      </c>
      <c r="D11" s="216" t="s">
        <v>6</v>
      </c>
      <c r="E11" s="280">
        <v>114</v>
      </c>
      <c r="F11" s="276">
        <v>263320</v>
      </c>
      <c r="G11" s="253">
        <v>30018480</v>
      </c>
    </row>
    <row r="12" spans="1:7" ht="15.75">
      <c r="A12" s="254">
        <f>SUM(A10+1)</f>
        <v>2</v>
      </c>
      <c r="B12" s="40"/>
      <c r="C12" s="41" t="s">
        <v>92</v>
      </c>
      <c r="D12" s="216"/>
      <c r="E12" s="280"/>
      <c r="F12" s="37"/>
      <c r="G12" s="253"/>
    </row>
    <row r="13" spans="1:7" ht="15.75">
      <c r="A13" s="255"/>
      <c r="B13" s="40"/>
      <c r="C13" s="41" t="s">
        <v>29</v>
      </c>
      <c r="D13" s="216"/>
      <c r="E13" s="280"/>
      <c r="F13" s="37"/>
      <c r="G13" s="253"/>
    </row>
    <row r="14" spans="1:7" ht="60.75">
      <c r="A14" s="252">
        <f>SUM(A12+0.01)</f>
        <v>2.0099999999999998</v>
      </c>
      <c r="B14" s="40" t="s">
        <v>226</v>
      </c>
      <c r="C14" s="36" t="s">
        <v>273</v>
      </c>
      <c r="D14" s="216" t="s">
        <v>6</v>
      </c>
      <c r="E14" s="280">
        <v>20</v>
      </c>
      <c r="F14" s="57">
        <v>100916</v>
      </c>
      <c r="G14" s="253">
        <v>2018320</v>
      </c>
    </row>
    <row r="15" spans="1:7" ht="60.75">
      <c r="A15" s="252">
        <f t="shared" ref="A15:A37" si="0">SUM(A14+0.01)</f>
        <v>2.0199999999999996</v>
      </c>
      <c r="B15" s="40" t="s">
        <v>227</v>
      </c>
      <c r="C15" s="36" t="s">
        <v>275</v>
      </c>
      <c r="D15" s="216" t="s">
        <v>6</v>
      </c>
      <c r="E15" s="280">
        <v>4</v>
      </c>
      <c r="F15" s="39">
        <v>94839</v>
      </c>
      <c r="G15" s="253">
        <v>379356</v>
      </c>
    </row>
    <row r="16" spans="1:7" ht="75.75">
      <c r="A16" s="252">
        <f t="shared" si="0"/>
        <v>2.0299999999999994</v>
      </c>
      <c r="B16" s="40" t="s">
        <v>228</v>
      </c>
      <c r="C16" s="36" t="s">
        <v>274</v>
      </c>
      <c r="D16" s="216" t="s">
        <v>6</v>
      </c>
      <c r="E16" s="280">
        <v>15</v>
      </c>
      <c r="F16" s="39">
        <v>223194</v>
      </c>
      <c r="G16" s="253">
        <v>3347910</v>
      </c>
    </row>
    <row r="17" spans="1:7" ht="75.75">
      <c r="A17" s="252">
        <f t="shared" si="0"/>
        <v>2.0399999999999991</v>
      </c>
      <c r="B17" s="40" t="s">
        <v>229</v>
      </c>
      <c r="C17" s="36" t="s">
        <v>276</v>
      </c>
      <c r="D17" s="216" t="s">
        <v>6</v>
      </c>
      <c r="E17" s="280">
        <v>1</v>
      </c>
      <c r="F17" s="39">
        <v>262822</v>
      </c>
      <c r="G17" s="253">
        <v>262822</v>
      </c>
    </row>
    <row r="18" spans="1:7" ht="60.75">
      <c r="A18" s="252">
        <f t="shared" si="0"/>
        <v>2.0499999999999989</v>
      </c>
      <c r="B18" s="40" t="s">
        <v>230</v>
      </c>
      <c r="C18" s="36" t="s">
        <v>278</v>
      </c>
      <c r="D18" s="216" t="s">
        <v>6</v>
      </c>
      <c r="E18" s="280">
        <v>2</v>
      </c>
      <c r="F18" s="39">
        <v>120853</v>
      </c>
      <c r="G18" s="253">
        <v>241706</v>
      </c>
    </row>
    <row r="19" spans="1:7" ht="60.75">
      <c r="A19" s="252">
        <f t="shared" si="0"/>
        <v>2.0599999999999987</v>
      </c>
      <c r="B19" s="40" t="s">
        <v>231</v>
      </c>
      <c r="C19" s="36" t="s">
        <v>277</v>
      </c>
      <c r="D19" s="216" t="s">
        <v>6</v>
      </c>
      <c r="E19" s="280">
        <v>5</v>
      </c>
      <c r="F19" s="39">
        <v>156299</v>
      </c>
      <c r="G19" s="253">
        <v>781495</v>
      </c>
    </row>
    <row r="20" spans="1:7" ht="75.75">
      <c r="A20" s="252">
        <f t="shared" si="0"/>
        <v>2.0699999999999985</v>
      </c>
      <c r="B20" s="40" t="s">
        <v>232</v>
      </c>
      <c r="C20" s="36" t="s">
        <v>279</v>
      </c>
      <c r="D20" s="216" t="s">
        <v>6</v>
      </c>
      <c r="E20" s="280">
        <v>4</v>
      </c>
      <c r="F20" s="39">
        <v>220279</v>
      </c>
      <c r="G20" s="253">
        <v>881116</v>
      </c>
    </row>
    <row r="21" spans="1:7" ht="60.75">
      <c r="A21" s="252">
        <f t="shared" si="0"/>
        <v>2.0799999999999983</v>
      </c>
      <c r="B21" s="40" t="s">
        <v>233</v>
      </c>
      <c r="C21" s="36" t="s">
        <v>280</v>
      </c>
      <c r="D21" s="216" t="s">
        <v>6</v>
      </c>
      <c r="E21" s="280">
        <v>6</v>
      </c>
      <c r="F21" s="39">
        <v>132790</v>
      </c>
      <c r="G21" s="253">
        <v>796740</v>
      </c>
    </row>
    <row r="22" spans="1:7" ht="75.75">
      <c r="A22" s="252">
        <f t="shared" si="0"/>
        <v>2.0899999999999981</v>
      </c>
      <c r="B22" s="40" t="s">
        <v>234</v>
      </c>
      <c r="C22" s="36" t="s">
        <v>281</v>
      </c>
      <c r="D22" s="216" t="s">
        <v>6</v>
      </c>
      <c r="E22" s="280">
        <v>17</v>
      </c>
      <c r="F22" s="39">
        <v>195444</v>
      </c>
      <c r="G22" s="253">
        <v>3322548</v>
      </c>
    </row>
    <row r="23" spans="1:7" s="209" customFormat="1" ht="75.75">
      <c r="A23" s="256">
        <f t="shared" si="0"/>
        <v>2.0999999999999979</v>
      </c>
      <c r="B23" s="227" t="s">
        <v>235</v>
      </c>
      <c r="C23" s="36" t="s">
        <v>282</v>
      </c>
      <c r="D23" s="216" t="s">
        <v>6</v>
      </c>
      <c r="E23" s="280">
        <v>7</v>
      </c>
      <c r="F23" s="39">
        <v>189519</v>
      </c>
      <c r="G23" s="253">
        <v>1326633</v>
      </c>
    </row>
    <row r="24" spans="1:7" ht="75.75">
      <c r="A24" s="252">
        <f t="shared" si="0"/>
        <v>2.1099999999999977</v>
      </c>
      <c r="B24" s="40" t="s">
        <v>236</v>
      </c>
      <c r="C24" s="36" t="s">
        <v>283</v>
      </c>
      <c r="D24" s="216" t="s">
        <v>6</v>
      </c>
      <c r="E24" s="280">
        <v>2</v>
      </c>
      <c r="F24" s="39">
        <v>244234</v>
      </c>
      <c r="G24" s="253">
        <v>488468</v>
      </c>
    </row>
    <row r="25" spans="1:7" ht="75.75">
      <c r="A25" s="252">
        <f t="shared" si="0"/>
        <v>2.1199999999999974</v>
      </c>
      <c r="B25" s="40" t="s">
        <v>237</v>
      </c>
      <c r="C25" s="36" t="s">
        <v>284</v>
      </c>
      <c r="D25" s="216" t="s">
        <v>6</v>
      </c>
      <c r="E25" s="280">
        <v>25</v>
      </c>
      <c r="F25" s="57">
        <v>179090</v>
      </c>
      <c r="G25" s="253">
        <v>4477250</v>
      </c>
    </row>
    <row r="26" spans="1:7" ht="75.75">
      <c r="A26" s="252">
        <f t="shared" si="0"/>
        <v>2.1299999999999972</v>
      </c>
      <c r="B26" s="40" t="s">
        <v>238</v>
      </c>
      <c r="C26" s="36" t="s">
        <v>285</v>
      </c>
      <c r="D26" s="216" t="s">
        <v>6</v>
      </c>
      <c r="E26" s="280">
        <v>15</v>
      </c>
      <c r="F26" s="39">
        <v>176079</v>
      </c>
      <c r="G26" s="253">
        <v>2641185</v>
      </c>
    </row>
    <row r="27" spans="1:7" ht="60.75">
      <c r="A27" s="252">
        <f t="shared" si="0"/>
        <v>2.139999999999997</v>
      </c>
      <c r="B27" s="40" t="s">
        <v>239</v>
      </c>
      <c r="C27" s="36" t="s">
        <v>286</v>
      </c>
      <c r="D27" s="216" t="s">
        <v>6</v>
      </c>
      <c r="E27" s="280">
        <v>3</v>
      </c>
      <c r="F27" s="39">
        <v>82047</v>
      </c>
      <c r="G27" s="253">
        <v>246141</v>
      </c>
    </row>
    <row r="28" spans="1:7" ht="87" customHeight="1">
      <c r="A28" s="252">
        <f t="shared" si="0"/>
        <v>2.1499999999999968</v>
      </c>
      <c r="B28" s="40" t="s">
        <v>240</v>
      </c>
      <c r="C28" s="36" t="s">
        <v>287</v>
      </c>
      <c r="D28" s="216" t="s">
        <v>6</v>
      </c>
      <c r="E28" s="280">
        <v>4</v>
      </c>
      <c r="F28" s="39">
        <v>417308</v>
      </c>
      <c r="G28" s="253">
        <v>1669232</v>
      </c>
    </row>
    <row r="29" spans="1:7" ht="81.75" customHeight="1">
      <c r="A29" s="252">
        <f t="shared" si="0"/>
        <v>2.1599999999999966</v>
      </c>
      <c r="B29" s="40" t="s">
        <v>241</v>
      </c>
      <c r="C29" s="36" t="s">
        <v>288</v>
      </c>
      <c r="D29" s="216" t="s">
        <v>6</v>
      </c>
      <c r="E29" s="280">
        <v>17</v>
      </c>
      <c r="F29" s="39">
        <v>178532</v>
      </c>
      <c r="G29" s="253">
        <v>3035044</v>
      </c>
    </row>
    <row r="30" spans="1:7" ht="84" customHeight="1">
      <c r="A30" s="252">
        <f t="shared" si="0"/>
        <v>2.1699999999999964</v>
      </c>
      <c r="B30" s="40" t="s">
        <v>242</v>
      </c>
      <c r="C30" s="36" t="s">
        <v>289</v>
      </c>
      <c r="D30" s="216" t="s">
        <v>6</v>
      </c>
      <c r="E30" s="280">
        <v>12</v>
      </c>
      <c r="F30" s="57">
        <v>180178</v>
      </c>
      <c r="G30" s="253">
        <v>2162136</v>
      </c>
    </row>
    <row r="31" spans="1:7" ht="75.75">
      <c r="A31" s="252">
        <f t="shared" si="0"/>
        <v>2.1799999999999962</v>
      </c>
      <c r="B31" s="40" t="s">
        <v>243</v>
      </c>
      <c r="C31" s="36" t="s">
        <v>290</v>
      </c>
      <c r="D31" s="216" t="s">
        <v>6</v>
      </c>
      <c r="E31" s="280">
        <v>4</v>
      </c>
      <c r="F31" s="39">
        <v>153754</v>
      </c>
      <c r="G31" s="253">
        <v>615016</v>
      </c>
    </row>
    <row r="32" spans="1:7" ht="75.75">
      <c r="A32" s="252">
        <f t="shared" si="0"/>
        <v>2.1899999999999959</v>
      </c>
      <c r="B32" s="40" t="s">
        <v>244</v>
      </c>
      <c r="C32" s="36" t="s">
        <v>291</v>
      </c>
      <c r="D32" s="216" t="s">
        <v>6</v>
      </c>
      <c r="E32" s="280">
        <v>11</v>
      </c>
      <c r="F32" s="57">
        <v>101434</v>
      </c>
      <c r="G32" s="253">
        <v>1115774</v>
      </c>
    </row>
    <row r="33" spans="1:7" ht="75.75">
      <c r="A33" s="252">
        <f t="shared" si="0"/>
        <v>2.1999999999999957</v>
      </c>
      <c r="B33" s="227" t="s">
        <v>245</v>
      </c>
      <c r="C33" s="36" t="s">
        <v>292</v>
      </c>
      <c r="D33" s="216" t="s">
        <v>6</v>
      </c>
      <c r="E33" s="280">
        <v>24</v>
      </c>
      <c r="F33" s="39">
        <v>180684</v>
      </c>
      <c r="G33" s="253">
        <v>4336416</v>
      </c>
    </row>
    <row r="34" spans="1:7" ht="90.75">
      <c r="A34" s="252">
        <f t="shared" si="0"/>
        <v>2.2099999999999955</v>
      </c>
      <c r="B34" s="40" t="s">
        <v>246</v>
      </c>
      <c r="C34" s="36" t="s">
        <v>293</v>
      </c>
      <c r="D34" s="216" t="s">
        <v>6</v>
      </c>
      <c r="E34" s="280">
        <v>5</v>
      </c>
      <c r="F34" s="39">
        <v>126376</v>
      </c>
      <c r="G34" s="253">
        <v>631880</v>
      </c>
    </row>
    <row r="35" spans="1:7" ht="60.75">
      <c r="A35" s="252">
        <f t="shared" si="0"/>
        <v>2.2199999999999953</v>
      </c>
      <c r="B35" s="40" t="s">
        <v>247</v>
      </c>
      <c r="C35" s="36" t="s">
        <v>294</v>
      </c>
      <c r="D35" s="216" t="s">
        <v>6</v>
      </c>
      <c r="E35" s="280">
        <v>1</v>
      </c>
      <c r="F35" s="39">
        <v>167010</v>
      </c>
      <c r="G35" s="253">
        <v>167010</v>
      </c>
    </row>
    <row r="36" spans="1:7" ht="60.75">
      <c r="A36" s="252">
        <f t="shared" si="0"/>
        <v>2.2299999999999951</v>
      </c>
      <c r="B36" s="40" t="s">
        <v>248</v>
      </c>
      <c r="C36" s="237" t="s">
        <v>295</v>
      </c>
      <c r="D36" s="217" t="s">
        <v>6</v>
      </c>
      <c r="E36" s="280">
        <v>12</v>
      </c>
      <c r="F36" s="39">
        <v>1882072</v>
      </c>
      <c r="G36" s="253">
        <v>22584864</v>
      </c>
    </row>
    <row r="37" spans="1:7" ht="75.75">
      <c r="A37" s="252">
        <f t="shared" si="0"/>
        <v>2.2399999999999949</v>
      </c>
      <c r="B37" s="40" t="s">
        <v>249</v>
      </c>
      <c r="C37" s="237" t="s">
        <v>296</v>
      </c>
      <c r="D37" s="216" t="s">
        <v>6</v>
      </c>
      <c r="E37" s="280">
        <v>12</v>
      </c>
      <c r="F37" s="39">
        <v>182294</v>
      </c>
      <c r="G37" s="253">
        <v>2187528</v>
      </c>
    </row>
    <row r="38" spans="1:7" ht="31.5">
      <c r="A38" s="254">
        <v>3</v>
      </c>
      <c r="B38" s="228"/>
      <c r="C38" s="63" t="s">
        <v>271</v>
      </c>
      <c r="D38" s="218"/>
      <c r="E38" s="280"/>
      <c r="F38" s="39"/>
      <c r="G38" s="253"/>
    </row>
    <row r="39" spans="1:7" ht="45">
      <c r="A39" s="252">
        <f>SUM(A38+0.01)</f>
        <v>3.01</v>
      </c>
      <c r="B39" s="40" t="s">
        <v>265</v>
      </c>
      <c r="C39" s="36" t="s">
        <v>267</v>
      </c>
      <c r="D39" s="216" t="s">
        <v>6</v>
      </c>
      <c r="E39" s="280">
        <v>223</v>
      </c>
      <c r="F39" s="39">
        <v>101686</v>
      </c>
      <c r="G39" s="253">
        <v>22675978</v>
      </c>
    </row>
    <row r="40" spans="1:7" ht="45">
      <c r="A40" s="252">
        <f>SUM(A39+0.01)</f>
        <v>3.0199999999999996</v>
      </c>
      <c r="B40" s="40" t="s">
        <v>266</v>
      </c>
      <c r="C40" s="36" t="s">
        <v>268</v>
      </c>
      <c r="D40" s="216" t="s">
        <v>6</v>
      </c>
      <c r="E40" s="280">
        <v>139</v>
      </c>
      <c r="F40" s="39">
        <v>38311</v>
      </c>
      <c r="G40" s="253">
        <v>5325229</v>
      </c>
    </row>
    <row r="41" spans="1:7" ht="15.75">
      <c r="A41" s="254">
        <v>4</v>
      </c>
      <c r="B41" s="228"/>
      <c r="C41" s="41" t="s">
        <v>30</v>
      </c>
      <c r="D41" s="216"/>
      <c r="E41" s="280"/>
      <c r="F41" s="39"/>
      <c r="G41" s="253"/>
    </row>
    <row r="42" spans="1:7" ht="90.75">
      <c r="A42" s="252">
        <f>SUM(A41+0.01)</f>
        <v>4.01</v>
      </c>
      <c r="B42" s="40" t="s">
        <v>250</v>
      </c>
      <c r="C42" s="36" t="s">
        <v>304</v>
      </c>
      <c r="D42" s="216" t="s">
        <v>6</v>
      </c>
      <c r="E42" s="280">
        <v>7</v>
      </c>
      <c r="F42" s="39">
        <v>190216</v>
      </c>
      <c r="G42" s="253">
        <v>1331512</v>
      </c>
    </row>
    <row r="43" spans="1:7" ht="90.75">
      <c r="A43" s="252">
        <f>SUM(A42+0.01)</f>
        <v>4.0199999999999996</v>
      </c>
      <c r="B43" s="40" t="s">
        <v>251</v>
      </c>
      <c r="C43" s="36" t="s">
        <v>305</v>
      </c>
      <c r="D43" s="216" t="s">
        <v>6</v>
      </c>
      <c r="E43" s="280">
        <v>35</v>
      </c>
      <c r="F43" s="39">
        <v>128473</v>
      </c>
      <c r="G43" s="253">
        <v>4496555</v>
      </c>
    </row>
    <row r="44" spans="1:7" ht="90.75">
      <c r="A44" s="252">
        <f>SUM(A43+0.01)</f>
        <v>4.0299999999999994</v>
      </c>
      <c r="B44" s="40" t="s">
        <v>252</v>
      </c>
      <c r="C44" s="36" t="s">
        <v>306</v>
      </c>
      <c r="D44" s="216" t="s">
        <v>6</v>
      </c>
      <c r="E44" s="280">
        <v>23</v>
      </c>
      <c r="F44" s="72">
        <v>147723</v>
      </c>
      <c r="G44" s="253">
        <v>3397629</v>
      </c>
    </row>
    <row r="45" spans="1:7" ht="105.75">
      <c r="A45" s="252">
        <f t="shared" ref="A45:A52" si="1">SUM(A44+0.01)</f>
        <v>4.0399999999999991</v>
      </c>
      <c r="B45" s="40" t="s">
        <v>253</v>
      </c>
      <c r="C45" s="36" t="s">
        <v>307</v>
      </c>
      <c r="D45" s="216" t="s">
        <v>6</v>
      </c>
      <c r="E45" s="280">
        <v>4</v>
      </c>
      <c r="F45" s="39">
        <v>116988</v>
      </c>
      <c r="G45" s="253">
        <v>467952</v>
      </c>
    </row>
    <row r="46" spans="1:7" ht="108" customHeight="1">
      <c r="A46" s="256">
        <f t="shared" si="1"/>
        <v>4.0499999999999989</v>
      </c>
      <c r="B46" s="40" t="s">
        <v>254</v>
      </c>
      <c r="C46" s="36" t="s">
        <v>308</v>
      </c>
      <c r="D46" s="216" t="s">
        <v>6</v>
      </c>
      <c r="E46" s="280">
        <v>12</v>
      </c>
      <c r="F46" s="57">
        <v>135627</v>
      </c>
      <c r="G46" s="253">
        <v>1627524</v>
      </c>
    </row>
    <row r="47" spans="1:7" ht="90.75">
      <c r="A47" s="256">
        <f t="shared" si="1"/>
        <v>4.0599999999999987</v>
      </c>
      <c r="B47" s="40" t="s">
        <v>255</v>
      </c>
      <c r="C47" s="36" t="s">
        <v>309</v>
      </c>
      <c r="D47" s="216" t="s">
        <v>6</v>
      </c>
      <c r="E47" s="280">
        <v>25</v>
      </c>
      <c r="F47" s="39">
        <v>251210</v>
      </c>
      <c r="G47" s="253">
        <v>6280250</v>
      </c>
    </row>
    <row r="48" spans="1:7" ht="90.75">
      <c r="A48" s="256">
        <f t="shared" si="1"/>
        <v>4.0699999999999985</v>
      </c>
      <c r="B48" s="40" t="s">
        <v>256</v>
      </c>
      <c r="C48" s="36" t="s">
        <v>310</v>
      </c>
      <c r="D48" s="216" t="s">
        <v>6</v>
      </c>
      <c r="E48" s="280">
        <v>5</v>
      </c>
      <c r="F48" s="39">
        <v>200412</v>
      </c>
      <c r="G48" s="253">
        <v>1002060</v>
      </c>
    </row>
    <row r="49" spans="1:7" ht="90.75">
      <c r="A49" s="256">
        <f t="shared" si="1"/>
        <v>4.0799999999999983</v>
      </c>
      <c r="B49" s="40" t="s">
        <v>257</v>
      </c>
      <c r="C49" s="36" t="s">
        <v>311</v>
      </c>
      <c r="D49" s="216" t="s">
        <v>6</v>
      </c>
      <c r="E49" s="280">
        <v>2</v>
      </c>
      <c r="F49" s="39">
        <v>252880</v>
      </c>
      <c r="G49" s="253">
        <v>505760</v>
      </c>
    </row>
    <row r="50" spans="1:7" ht="98.25" customHeight="1">
      <c r="A50" s="256">
        <f t="shared" si="1"/>
        <v>4.0899999999999981</v>
      </c>
      <c r="B50" s="40" t="s">
        <v>258</v>
      </c>
      <c r="C50" s="36" t="s">
        <v>312</v>
      </c>
      <c r="D50" s="216" t="s">
        <v>6</v>
      </c>
      <c r="E50" s="280">
        <v>14</v>
      </c>
      <c r="F50" s="39">
        <v>322705</v>
      </c>
      <c r="G50" s="253">
        <v>4517870</v>
      </c>
    </row>
    <row r="51" spans="1:7" ht="106.5" customHeight="1">
      <c r="A51" s="256">
        <f t="shared" si="1"/>
        <v>4.0999999999999979</v>
      </c>
      <c r="B51" s="40" t="s">
        <v>259</v>
      </c>
      <c r="C51" s="36" t="s">
        <v>313</v>
      </c>
      <c r="D51" s="216" t="s">
        <v>6</v>
      </c>
      <c r="E51" s="280">
        <v>5</v>
      </c>
      <c r="F51" s="39">
        <v>127561</v>
      </c>
      <c r="G51" s="253">
        <v>637805</v>
      </c>
    </row>
    <row r="52" spans="1:7" ht="92.25" customHeight="1">
      <c r="A52" s="256">
        <f t="shared" si="1"/>
        <v>4.1099999999999977</v>
      </c>
      <c r="B52" s="40" t="s">
        <v>260</v>
      </c>
      <c r="C52" s="36" t="s">
        <v>314</v>
      </c>
      <c r="D52" s="216" t="s">
        <v>6</v>
      </c>
      <c r="E52" s="280">
        <v>3</v>
      </c>
      <c r="F52" s="39">
        <v>147723</v>
      </c>
      <c r="G52" s="253">
        <v>443169</v>
      </c>
    </row>
    <row r="53" spans="1:7" ht="99.75" customHeight="1">
      <c r="A53" s="256">
        <f>SUM(A52+0.01)</f>
        <v>4.1199999999999974</v>
      </c>
      <c r="B53" s="40" t="s">
        <v>261</v>
      </c>
      <c r="C53" s="36" t="s">
        <v>315</v>
      </c>
      <c r="D53" s="216" t="s">
        <v>6</v>
      </c>
      <c r="E53" s="280">
        <v>15</v>
      </c>
      <c r="F53" s="39">
        <v>201499</v>
      </c>
      <c r="G53" s="253">
        <v>3022485</v>
      </c>
    </row>
    <row r="54" spans="1:7" ht="15.75">
      <c r="A54" s="254">
        <v>5</v>
      </c>
      <c r="B54" s="40"/>
      <c r="C54" s="128" t="s">
        <v>264</v>
      </c>
      <c r="D54" s="216"/>
      <c r="E54" s="280"/>
      <c r="F54" s="211"/>
      <c r="G54" s="253"/>
    </row>
    <row r="55" spans="1:7" ht="30">
      <c r="A55" s="252">
        <f>SUM(A54+0.01)</f>
        <v>5.01</v>
      </c>
      <c r="B55" s="40" t="s">
        <v>262</v>
      </c>
      <c r="C55" s="36" t="s">
        <v>316</v>
      </c>
      <c r="D55" s="216" t="s">
        <v>6</v>
      </c>
      <c r="E55" s="280">
        <v>8</v>
      </c>
      <c r="F55" s="39">
        <v>166975</v>
      </c>
      <c r="G55" s="253">
        <v>1335800</v>
      </c>
    </row>
    <row r="56" spans="1:7" ht="30">
      <c r="A56" s="252">
        <f>SUM(A55+0.01)</f>
        <v>5.0199999999999996</v>
      </c>
      <c r="B56" s="40" t="s">
        <v>263</v>
      </c>
      <c r="C56" s="36" t="s">
        <v>317</v>
      </c>
      <c r="D56" s="216" t="s">
        <v>6</v>
      </c>
      <c r="E56" s="280">
        <v>15</v>
      </c>
      <c r="F56" s="39">
        <v>176070</v>
      </c>
      <c r="G56" s="253">
        <v>2641050</v>
      </c>
    </row>
    <row r="57" spans="1:7" s="133" customFormat="1" ht="15.75">
      <c r="A57" s="257">
        <v>6</v>
      </c>
      <c r="B57" s="127"/>
      <c r="C57" s="128" t="s">
        <v>150</v>
      </c>
      <c r="D57" s="216"/>
      <c r="E57" s="280"/>
      <c r="F57" s="258"/>
      <c r="G57" s="253"/>
    </row>
    <row r="58" spans="1:7" ht="141" customHeight="1">
      <c r="A58" s="259">
        <f>SUM(A57+0.01)</f>
        <v>6.01</v>
      </c>
      <c r="B58" s="213"/>
      <c r="C58" s="36" t="s">
        <v>318</v>
      </c>
      <c r="D58" s="219" t="s">
        <v>6</v>
      </c>
      <c r="E58" s="280">
        <v>26</v>
      </c>
      <c r="F58" s="39">
        <v>489976</v>
      </c>
      <c r="G58" s="253">
        <v>12739376</v>
      </c>
    </row>
    <row r="59" spans="1:7" ht="15.75">
      <c r="A59" s="254">
        <f>SUM(A57+1)</f>
        <v>7</v>
      </c>
      <c r="B59" s="40"/>
      <c r="C59" s="63" t="s">
        <v>272</v>
      </c>
      <c r="D59" s="222"/>
      <c r="E59" s="280"/>
      <c r="F59" s="39"/>
      <c r="G59" s="253"/>
    </row>
    <row r="60" spans="1:7" ht="15">
      <c r="A60" s="259">
        <f>SUM(A59+0.01)</f>
        <v>7.01</v>
      </c>
      <c r="B60" s="216" t="s">
        <v>299</v>
      </c>
      <c r="C60" s="71" t="s">
        <v>298</v>
      </c>
      <c r="D60" s="222" t="s">
        <v>6</v>
      </c>
      <c r="E60" s="280">
        <v>13</v>
      </c>
      <c r="F60" s="39">
        <v>64915</v>
      </c>
      <c r="G60" s="253">
        <v>843895</v>
      </c>
    </row>
    <row r="61" spans="1:7" ht="31.5">
      <c r="A61" s="260">
        <v>8</v>
      </c>
      <c r="B61" s="84"/>
      <c r="C61" s="97" t="s">
        <v>174</v>
      </c>
      <c r="D61" s="217"/>
      <c r="E61" s="280"/>
      <c r="F61" s="2"/>
      <c r="G61" s="253"/>
    </row>
    <row r="62" spans="1:7" ht="23.45" customHeight="1">
      <c r="A62" s="261">
        <f>SUM(A61+0.01)</f>
        <v>8.01</v>
      </c>
      <c r="B62" s="40" t="s">
        <v>269</v>
      </c>
      <c r="C62" s="99" t="s">
        <v>319</v>
      </c>
      <c r="D62" s="219" t="s">
        <v>7</v>
      </c>
      <c r="E62" s="280">
        <v>32</v>
      </c>
      <c r="F62" s="39">
        <v>40157</v>
      </c>
      <c r="G62" s="253">
        <v>1285024</v>
      </c>
    </row>
    <row r="63" spans="1:7" ht="15.75">
      <c r="A63" s="261">
        <f>SUM(A62+0.01)</f>
        <v>8.02</v>
      </c>
      <c r="B63" s="40" t="s">
        <v>270</v>
      </c>
      <c r="C63" s="36" t="s">
        <v>320</v>
      </c>
      <c r="D63" s="219" t="s">
        <v>7</v>
      </c>
      <c r="E63" s="280">
        <v>62</v>
      </c>
      <c r="F63" s="39">
        <v>118924</v>
      </c>
      <c r="G63" s="253">
        <v>7373288</v>
      </c>
    </row>
    <row r="64" spans="1:7" ht="18">
      <c r="A64" s="262"/>
      <c r="B64" s="10"/>
      <c r="C64" s="277" t="s">
        <v>301</v>
      </c>
      <c r="D64" s="127"/>
      <c r="E64" s="101"/>
      <c r="F64" s="101"/>
      <c r="G64" s="282">
        <v>171685281</v>
      </c>
    </row>
    <row r="65" spans="1:7" ht="18.75" thickBot="1">
      <c r="A65" s="262"/>
      <c r="B65" s="214"/>
      <c r="C65" s="278" t="s">
        <v>300</v>
      </c>
      <c r="D65" s="223"/>
      <c r="E65" s="136"/>
      <c r="F65" s="136"/>
      <c r="G65" s="283">
        <v>27469644.960000001</v>
      </c>
    </row>
    <row r="66" spans="1:7" ht="18.75" thickBot="1">
      <c r="A66" s="262"/>
      <c r="B66" s="214"/>
      <c r="C66" s="279" t="s">
        <v>302</v>
      </c>
      <c r="D66" s="224"/>
      <c r="E66" s="145"/>
      <c r="F66" s="145"/>
      <c r="G66" s="281">
        <v>199154925.96000001</v>
      </c>
    </row>
    <row r="67" spans="1:7" ht="15.75">
      <c r="A67" s="262"/>
      <c r="B67" s="214"/>
      <c r="C67" s="138"/>
      <c r="D67" s="225"/>
      <c r="E67" s="140"/>
      <c r="F67" s="140"/>
      <c r="G67" s="263"/>
    </row>
    <row r="68" spans="1:7" ht="15.75">
      <c r="A68" s="262"/>
      <c r="B68" s="215"/>
      <c r="C68" s="289"/>
      <c r="D68" s="290"/>
      <c r="E68" s="105"/>
      <c r="F68" s="105"/>
      <c r="G68" s="264"/>
    </row>
    <row r="69" spans="1:7" ht="15.75">
      <c r="A69" s="265"/>
      <c r="B69" s="210"/>
      <c r="C69" s="229"/>
      <c r="D69" s="230"/>
      <c r="E69" s="231"/>
      <c r="F69" s="231"/>
      <c r="G69" s="266"/>
    </row>
    <row r="70" spans="1:7">
      <c r="A70" s="267"/>
      <c r="B70" s="9"/>
      <c r="C70" s="210"/>
      <c r="D70" s="317" t="s">
        <v>128</v>
      </c>
      <c r="E70" s="318"/>
      <c r="F70" s="319"/>
      <c r="G70" s="268"/>
    </row>
    <row r="71" spans="1:7">
      <c r="A71" s="267"/>
      <c r="B71" s="9"/>
      <c r="C71" s="210"/>
      <c r="D71" s="320"/>
      <c r="E71" s="321"/>
      <c r="F71" s="322"/>
      <c r="G71" s="251"/>
    </row>
    <row r="72" spans="1:7" ht="18.75" customHeight="1">
      <c r="A72" s="267"/>
      <c r="B72" s="9"/>
      <c r="C72" s="210"/>
      <c r="D72" s="320"/>
      <c r="E72" s="321"/>
      <c r="F72" s="322"/>
      <c r="G72" s="251"/>
    </row>
    <row r="73" spans="1:7" ht="16.5" customHeight="1" thickBot="1">
      <c r="A73" s="267"/>
      <c r="B73" s="9"/>
      <c r="C73" s="238" t="s">
        <v>19</v>
      </c>
      <c r="D73" s="323"/>
      <c r="E73" s="324"/>
      <c r="F73" s="325"/>
      <c r="G73" s="251"/>
    </row>
    <row r="74" spans="1:7" ht="16.5" thickBot="1">
      <c r="A74" s="267"/>
      <c r="B74" s="9"/>
      <c r="C74" s="239" t="s">
        <v>20</v>
      </c>
      <c r="D74" s="226"/>
      <c r="E74" s="210"/>
      <c r="F74" s="2"/>
      <c r="G74" s="281"/>
    </row>
    <row r="75" spans="1:7" ht="15.75" thickBot="1">
      <c r="A75" s="269"/>
      <c r="B75" s="270"/>
      <c r="C75" s="271" t="s">
        <v>21</v>
      </c>
      <c r="D75" s="272"/>
      <c r="E75" s="272"/>
      <c r="F75" s="273"/>
      <c r="G75" s="274"/>
    </row>
    <row r="81" spans="3:3" ht="20.25">
      <c r="C81" s="284"/>
    </row>
  </sheetData>
  <mergeCells count="6">
    <mergeCell ref="C68:D68"/>
    <mergeCell ref="D70:F73"/>
    <mergeCell ref="C1:D1"/>
    <mergeCell ref="C2:D2"/>
    <mergeCell ref="A6:G6"/>
    <mergeCell ref="A7:G7"/>
  </mergeCells>
  <pageMargins left="0.59055118110236227" right="0.39370078740157483" top="0.59055118110236227" bottom="0.39370078740157483" header="0.39370078740157483" footer="0.39370078740157483"/>
  <pageSetup scale="50" orientation="portrait" r:id="rId1"/>
  <rowBreaks count="2" manualBreakCount="2">
    <brk id="28" max="16383" man="1"/>
    <brk id="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PPUESTO GENERAL 5 febrero 2 (2)</vt:lpstr>
      <vt:lpstr>PPUESTO CARPINTERIA METAL  </vt:lpstr>
      <vt:lpstr>'PPUESTO GENERAL 5 febrero 2 (2)'!Área_de_impresión</vt:lpstr>
      <vt:lpstr>'PPUESTO CARPINTERIA METAL  '!Títulos_a_imprimir</vt:lpstr>
      <vt:lpstr>'PPUESTO GENERAL 5 febrero 2 (2)'!Títulos_a_imprimir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 1</dc:creator>
  <cp:lastModifiedBy>PLANTA FISICA</cp:lastModifiedBy>
  <cp:lastPrinted>2014-05-15T14:42:17Z</cp:lastPrinted>
  <dcterms:created xsi:type="dcterms:W3CDTF">2011-06-01T04:23:39Z</dcterms:created>
  <dcterms:modified xsi:type="dcterms:W3CDTF">2014-06-12T20:11:01Z</dcterms:modified>
</cp:coreProperties>
</file>